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style2.xml" ContentType="application/vnd.ms-office.chartstyle+xml"/>
  <Override PartName="/xl/charts/chart3.xml" ContentType="application/vnd.openxmlformats-officedocument.drawingml.chart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2D0CFC7-2958-4893-9F45-5804A8B665CB}" xr6:coauthVersionLast="47" xr6:coauthVersionMax="47" xr10:uidLastSave="{00000000-0000-0000-0000-000000000000}"/>
  <bookViews>
    <workbookView xWindow="-110" yWindow="-110" windowWidth="19420" windowHeight="10300" tabRatio="777" activeTab="2" xr2:uid="{D3C0F064-C062-41F6-B506-C6502D824EF5}"/>
  </bookViews>
  <sheets>
    <sheet name="ASSUMPTIONS" sheetId="6" r:id="rId1"/>
    <sheet name="CASH FLOW" sheetId="9" r:id="rId2"/>
    <sheet name="RETURN" sheetId="8" r:id="rId3"/>
    <sheet name="IDE Growth" sheetId="3" state="hidden" r:id="rId4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7" i="6" l="1"/>
  <c r="H57" i="6"/>
  <c r="I57" i="6"/>
  <c r="J57" i="6"/>
  <c r="F57" i="6"/>
  <c r="D14" i="8"/>
  <c r="H15" i="6"/>
  <c r="I15" i="6"/>
  <c r="J15" i="6" s="1"/>
  <c r="G15" i="6"/>
  <c r="G40" i="6" l="1"/>
  <c r="H40" i="6" s="1"/>
  <c r="I40" i="6" s="1"/>
  <c r="J40" i="6" s="1"/>
  <c r="G36" i="6"/>
  <c r="H36" i="6" s="1"/>
  <c r="G32" i="6"/>
  <c r="H32" i="6" s="1"/>
  <c r="F28" i="6"/>
  <c r="G27" i="6"/>
  <c r="H27" i="6" s="1"/>
  <c r="I27" i="6" s="1"/>
  <c r="J27" i="6" s="1"/>
  <c r="G25" i="6"/>
  <c r="H25" i="6" s="1"/>
  <c r="F23" i="6"/>
  <c r="F37" i="6" s="1"/>
  <c r="F38" i="6" s="1"/>
  <c r="G22" i="6"/>
  <c r="H22" i="6" s="1"/>
  <c r="I22" i="6" s="1"/>
  <c r="J22" i="6" s="1"/>
  <c r="G20" i="6"/>
  <c r="F18" i="6"/>
  <c r="F33" i="6" s="1"/>
  <c r="F34" i="6" s="1"/>
  <c r="G17" i="6"/>
  <c r="H17" i="6" s="1"/>
  <c r="I17" i="6" s="1"/>
  <c r="J17" i="6" s="1"/>
  <c r="E4" i="8"/>
  <c r="F4" i="8" s="1"/>
  <c r="G4" i="8" s="1"/>
  <c r="H4" i="8" s="1"/>
  <c r="I4" i="8" s="1"/>
  <c r="D6" i="8"/>
  <c r="D5" i="8"/>
  <c r="D7" i="8" s="1"/>
  <c r="F52" i="6"/>
  <c r="E8" i="9"/>
  <c r="J8" i="9" s="1"/>
  <c r="J5" i="9"/>
  <c r="J7" i="9" s="1"/>
  <c r="F3" i="9"/>
  <c r="G3" i="9" s="1"/>
  <c r="H3" i="9" s="1"/>
  <c r="I3" i="9" s="1"/>
  <c r="J3" i="9" s="1"/>
  <c r="F43" i="6" l="1"/>
  <c r="F44" i="6"/>
  <c r="I36" i="6"/>
  <c r="I32" i="6"/>
  <c r="F41" i="6"/>
  <c r="F42" i="6" s="1"/>
  <c r="G23" i="6"/>
  <c r="J18" i="6"/>
  <c r="F29" i="6"/>
  <c r="F47" i="6" s="1"/>
  <c r="H28" i="6"/>
  <c r="H26" i="6"/>
  <c r="I25" i="6"/>
  <c r="G26" i="6"/>
  <c r="G28" i="6"/>
  <c r="I18" i="6"/>
  <c r="H18" i="6"/>
  <c r="G18" i="6"/>
  <c r="H20" i="6"/>
  <c r="G21" i="6"/>
  <c r="J9" i="9"/>
  <c r="J10" i="9" s="1"/>
  <c r="E9" i="9"/>
  <c r="F12" i="9" l="1"/>
  <c r="F14" i="9"/>
  <c r="H33" i="6"/>
  <c r="J32" i="6"/>
  <c r="J33" i="6" s="1"/>
  <c r="I33" i="6"/>
  <c r="G37" i="6"/>
  <c r="G38" i="6" s="1"/>
  <c r="G41" i="6"/>
  <c r="G42" i="6" s="1"/>
  <c r="H41" i="6"/>
  <c r="H42" i="6" s="1"/>
  <c r="G33" i="6"/>
  <c r="J36" i="6"/>
  <c r="G29" i="6"/>
  <c r="J25" i="6"/>
  <c r="I28" i="6"/>
  <c r="I26" i="6"/>
  <c r="H23" i="6"/>
  <c r="H21" i="6"/>
  <c r="I20" i="6"/>
  <c r="F1" i="8"/>
  <c r="G1" i="8" s="1"/>
  <c r="H1" i="8" s="1"/>
  <c r="I1" i="8" s="1"/>
  <c r="G47" i="6" l="1"/>
  <c r="G46" i="6"/>
  <c r="G34" i="6"/>
  <c r="G43" i="6" s="1"/>
  <c r="G14" i="9" s="1"/>
  <c r="G44" i="6"/>
  <c r="I34" i="6"/>
  <c r="H34" i="6"/>
  <c r="J34" i="6"/>
  <c r="I41" i="6"/>
  <c r="I42" i="6" s="1"/>
  <c r="H29" i="6"/>
  <c r="H37" i="6"/>
  <c r="H38" i="6" s="1"/>
  <c r="H43" i="6" s="1"/>
  <c r="H14" i="9" s="1"/>
  <c r="J28" i="6"/>
  <c r="J26" i="6"/>
  <c r="I21" i="6"/>
  <c r="J20" i="6"/>
  <c r="I23" i="6"/>
  <c r="F56" i="6"/>
  <c r="F16" i="9" s="1"/>
  <c r="G52" i="6"/>
  <c r="H52" i="6" s="1"/>
  <c r="G12" i="9"/>
  <c r="J16" i="6"/>
  <c r="I16" i="6"/>
  <c r="H16" i="6"/>
  <c r="G16" i="6"/>
  <c r="J12" i="6"/>
  <c r="J19" i="9" s="1"/>
  <c r="I8" i="8" s="1"/>
  <c r="I12" i="6"/>
  <c r="I19" i="9" s="1"/>
  <c r="H8" i="8" s="1"/>
  <c r="H12" i="6"/>
  <c r="H19" i="9" s="1"/>
  <c r="G8" i="8" s="1"/>
  <c r="G12" i="6"/>
  <c r="G19" i="9" s="1"/>
  <c r="F8" i="8" s="1"/>
  <c r="F12" i="6"/>
  <c r="F19" i="9" s="1"/>
  <c r="E8" i="8" s="1"/>
  <c r="E12" i="6"/>
  <c r="E19" i="9" s="1"/>
  <c r="B6" i="6"/>
  <c r="B7" i="6" s="1"/>
  <c r="B8" i="6" s="1"/>
  <c r="B9" i="6" s="1"/>
  <c r="B10" i="6" s="1"/>
  <c r="B11" i="6" s="1"/>
  <c r="F3" i="6"/>
  <c r="G3" i="6" s="1"/>
  <c r="H3" i="6" s="1"/>
  <c r="I3" i="6" s="1"/>
  <c r="J3" i="6" s="1"/>
  <c r="H47" i="6" l="1"/>
  <c r="H46" i="6"/>
  <c r="H44" i="6"/>
  <c r="H12" i="9"/>
  <c r="I29" i="6"/>
  <c r="I37" i="6"/>
  <c r="J41" i="6"/>
  <c r="J42" i="6" s="1"/>
  <c r="J21" i="6"/>
  <c r="J23" i="6"/>
  <c r="E5" i="8"/>
  <c r="D8" i="8"/>
  <c r="D9" i="8" s="1"/>
  <c r="D10" i="8" s="1"/>
  <c r="E20" i="9"/>
  <c r="F5" i="8"/>
  <c r="G5" i="8"/>
  <c r="G56" i="6"/>
  <c r="G16" i="9" s="1"/>
  <c r="I52" i="6"/>
  <c r="H56" i="6"/>
  <c r="H16" i="9" s="1"/>
  <c r="I47" i="6" l="1"/>
  <c r="I46" i="6"/>
  <c r="I38" i="6"/>
  <c r="I43" i="6" s="1"/>
  <c r="I14" i="9" s="1"/>
  <c r="I44" i="6"/>
  <c r="J29" i="6"/>
  <c r="J37" i="6"/>
  <c r="F50" i="6"/>
  <c r="F15" i="9" s="1"/>
  <c r="F17" i="9" s="1"/>
  <c r="I12" i="9"/>
  <c r="I56" i="6"/>
  <c r="I16" i="9" s="1"/>
  <c r="J52" i="6"/>
  <c r="J56" i="6" s="1"/>
  <c r="J16" i="9" s="1"/>
  <c r="J47" i="6" l="1"/>
  <c r="J46" i="6"/>
  <c r="J38" i="6"/>
  <c r="J43" i="6" s="1"/>
  <c r="J14" i="9" s="1"/>
  <c r="J44" i="6"/>
  <c r="J12" i="9"/>
  <c r="E6" i="8"/>
  <c r="F18" i="9"/>
  <c r="F20" i="9" s="1"/>
  <c r="H5" i="8"/>
  <c r="D17" i="8" s="1"/>
  <c r="I5" i="8"/>
  <c r="G50" i="6"/>
  <c r="G15" i="9" s="1"/>
  <c r="G17" i="9" s="1"/>
  <c r="E7" i="8" l="1"/>
  <c r="E9" i="8" s="1"/>
  <c r="E10" i="8" s="1"/>
  <c r="E11" i="8" s="1"/>
  <c r="F6" i="8"/>
  <c r="F7" i="8" s="1"/>
  <c r="F9" i="8" s="1"/>
  <c r="G18" i="9"/>
  <c r="G20" i="9" s="1"/>
  <c r="H50" i="6"/>
  <c r="H15" i="9" s="1"/>
  <c r="H17" i="9" s="1"/>
  <c r="G6" i="8" l="1"/>
  <c r="H18" i="9"/>
  <c r="H20" i="9" s="1"/>
  <c r="F10" i="8"/>
  <c r="F11" i="8" s="1"/>
  <c r="E12" i="8"/>
  <c r="J50" i="6"/>
  <c r="J15" i="9" s="1"/>
  <c r="J17" i="9" s="1"/>
  <c r="I50" i="6"/>
  <c r="I15" i="9" s="1"/>
  <c r="I17" i="9" s="1"/>
  <c r="G7" i="8" l="1"/>
  <c r="G9" i="8" s="1"/>
  <c r="G10" i="8" s="1"/>
  <c r="G11" i="8" s="1"/>
  <c r="H6" i="8"/>
  <c r="H7" i="8" s="1"/>
  <c r="H9" i="8" s="1"/>
  <c r="I18" i="9"/>
  <c r="I20" i="9" s="1"/>
  <c r="I6" i="8"/>
  <c r="I7" i="8" s="1"/>
  <c r="I9" i="8" s="1"/>
  <c r="J18" i="9"/>
  <c r="J20" i="9" s="1"/>
  <c r="F12" i="8"/>
  <c r="D18" i="8" l="1"/>
  <c r="D16" i="8" s="1"/>
  <c r="D19" i="8"/>
  <c r="D20" i="8"/>
  <c r="G12" i="8"/>
  <c r="H10" i="8"/>
  <c r="H11" i="8" s="1"/>
  <c r="H12" i="8" l="1"/>
  <c r="I10" i="8"/>
  <c r="I11" i="8" l="1"/>
  <c r="D13" i="8" s="1"/>
  <c r="E19" i="3"/>
  <c r="F19" i="3"/>
  <c r="G19" i="3"/>
  <c r="H19" i="3" s="1"/>
  <c r="I19" i="3" s="1"/>
  <c r="J19" i="3" s="1"/>
  <c r="K19" i="3" s="1"/>
  <c r="L19" i="3" s="1"/>
  <c r="M19" i="3" s="1"/>
  <c r="D19" i="3"/>
  <c r="F18" i="3"/>
  <c r="G18" i="3"/>
  <c r="E18" i="3"/>
  <c r="I28" i="3"/>
  <c r="I26" i="3"/>
  <c r="J26" i="3" s="1"/>
  <c r="K26" i="3" s="1"/>
  <c r="L26" i="3" s="1"/>
  <c r="M26" i="3" s="1"/>
  <c r="M21" i="3"/>
  <c r="L21" i="3"/>
  <c r="K21" i="3"/>
  <c r="J21" i="3"/>
  <c r="I21" i="3"/>
  <c r="H21" i="3"/>
  <c r="H15" i="3"/>
  <c r="I13" i="3"/>
  <c r="J13" i="3" s="1"/>
  <c r="K13" i="3" s="1"/>
  <c r="L13" i="3" s="1"/>
  <c r="M13" i="3" s="1"/>
  <c r="I12" i="3"/>
  <c r="J12" i="3" s="1"/>
  <c r="K12" i="3" s="1"/>
  <c r="L12" i="3" s="1"/>
  <c r="M12" i="3" s="1"/>
  <c r="H9" i="3"/>
  <c r="J6" i="3"/>
  <c r="K6" i="3" s="1"/>
  <c r="I2" i="3"/>
  <c r="J2" i="3" s="1"/>
  <c r="K2" i="3" s="1"/>
  <c r="L2" i="3" s="1"/>
  <c r="M2" i="3" s="1"/>
  <c r="F2" i="3"/>
  <c r="E2" i="3"/>
  <c r="D2" i="3"/>
  <c r="I12" i="8" l="1"/>
  <c r="E13" i="8" s="1"/>
  <c r="L6" i="3"/>
  <c r="K15" i="3"/>
  <c r="J28" i="3"/>
  <c r="I15" i="3"/>
  <c r="J15" i="3"/>
  <c r="K28" i="3" l="1"/>
  <c r="M6" i="3"/>
  <c r="M15" i="3" s="1"/>
  <c r="L15" i="3"/>
  <c r="L28" i="3" l="1"/>
  <c r="E4" i="3" l="1"/>
  <c r="F4" i="3"/>
  <c r="D4" i="3"/>
  <c r="D23" i="3" s="1"/>
  <c r="G4" i="3"/>
  <c r="M28" i="3"/>
  <c r="E23" i="3" l="1"/>
  <c r="E5" i="3"/>
  <c r="G23" i="3"/>
  <c r="H4" i="3"/>
  <c r="G5" i="3"/>
  <c r="F23" i="3"/>
  <c r="F5" i="3"/>
  <c r="F17" i="3"/>
  <c r="G17" i="3"/>
  <c r="E17" i="3"/>
  <c r="I4" i="3" l="1"/>
  <c r="H25" i="3"/>
  <c r="H14" i="3"/>
  <c r="H16" i="3" s="1"/>
  <c r="H24" i="3" s="1"/>
  <c r="H27" i="3" s="1"/>
  <c r="H29" i="3" s="1"/>
  <c r="H30" i="3" s="1"/>
  <c r="H31" i="3" s="1"/>
  <c r="H8" i="3"/>
  <c r="H23" i="3" l="1"/>
  <c r="H10" i="3"/>
  <c r="I14" i="3"/>
  <c r="I16" i="3" s="1"/>
  <c r="I24" i="3" s="1"/>
  <c r="J4" i="3"/>
  <c r="I25" i="3"/>
  <c r="I8" i="3"/>
  <c r="I23" i="3" s="1"/>
  <c r="I27" i="3" l="1"/>
  <c r="I29" i="3" s="1"/>
  <c r="J25" i="3"/>
  <c r="J8" i="3"/>
  <c r="J23" i="3" s="1"/>
  <c r="J14" i="3"/>
  <c r="J16" i="3" s="1"/>
  <c r="J24" i="3" s="1"/>
  <c r="K4" i="3"/>
  <c r="I30" i="3"/>
  <c r="I31" i="3" s="1"/>
  <c r="I9" i="3"/>
  <c r="I10" i="3" s="1"/>
  <c r="L4" i="3" l="1"/>
  <c r="K8" i="3"/>
  <c r="K23" i="3" s="1"/>
  <c r="K25" i="3"/>
  <c r="K14" i="3"/>
  <c r="K16" i="3" s="1"/>
  <c r="K24" i="3" s="1"/>
  <c r="K27" i="3" s="1"/>
  <c r="K29" i="3" s="1"/>
  <c r="J27" i="3"/>
  <c r="J29" i="3" s="1"/>
  <c r="M4" i="3" l="1"/>
  <c r="L25" i="3"/>
  <c r="L8" i="3"/>
  <c r="L14" i="3"/>
  <c r="L16" i="3" s="1"/>
  <c r="L24" i="3" s="1"/>
  <c r="L27" i="3" s="1"/>
  <c r="L29" i="3" s="1"/>
  <c r="J30" i="3"/>
  <c r="J31" i="3" s="1"/>
  <c r="J9" i="3"/>
  <c r="J10" i="3" s="1"/>
  <c r="K30" i="3"/>
  <c r="K31" i="3" s="1"/>
  <c r="K9" i="3"/>
  <c r="K10" i="3" s="1"/>
  <c r="L30" i="3" l="1"/>
  <c r="L31" i="3" s="1"/>
  <c r="L9" i="3"/>
  <c r="L10" i="3" s="1"/>
  <c r="M8" i="3"/>
  <c r="M23" i="3" s="1"/>
  <c r="L23" i="3"/>
  <c r="M25" i="3"/>
  <c r="M14" i="3"/>
  <c r="M16" i="3" s="1"/>
  <c r="M24" i="3" s="1"/>
  <c r="M27" i="3" s="1"/>
  <c r="M29" i="3" s="1"/>
  <c r="M30" i="3" l="1"/>
  <c r="M31" i="3" s="1"/>
  <c r="M9" i="3"/>
  <c r="M10" i="3" s="1"/>
</calcChain>
</file>

<file path=xl/sharedStrings.xml><?xml version="1.0" encoding="utf-8"?>
<sst xmlns="http://schemas.openxmlformats.org/spreadsheetml/2006/main" count="140" uniqueCount="95">
  <si>
    <t>KEY ASSUMPTIONS</t>
  </si>
  <si>
    <t>Y0</t>
  </si>
  <si>
    <t>Y1</t>
  </si>
  <si>
    <t>Y2</t>
  </si>
  <si>
    <t>Y3</t>
  </si>
  <si>
    <t>Y4</t>
  </si>
  <si>
    <t>Y5</t>
  </si>
  <si>
    <t>งบลงทุน (Capital Expenditure: CAPEX)</t>
  </si>
  <si>
    <t>เครื่องมือและอุปกรณ์</t>
  </si>
  <si>
    <t>งบวิจัยตลาดและทดสอบผล</t>
  </si>
  <si>
    <t>งบ R&amp;D ไม่ต่ำกว่า 1.25%</t>
  </si>
  <si>
    <t>งบสร้างแบรนด์</t>
  </si>
  <si>
    <t>[ใส่รายการเงินลงทุน]</t>
  </si>
  <si>
    <t>รวมเงินลงทุน</t>
  </si>
  <si>
    <t>ประมาณการรายได้</t>
  </si>
  <si>
    <t xml:space="preserve">SKU 1 - </t>
  </si>
  <si>
    <t>ปริมาณขาย (หน่วย)</t>
  </si>
  <si>
    <t>อัตราการเติบโต</t>
  </si>
  <si>
    <t>ราคาเฉลี่ยต่อหน่วย (ราคาขายส่ง)</t>
  </si>
  <si>
    <t>Sales (1)</t>
  </si>
  <si>
    <t>SKU 2 -</t>
  </si>
  <si>
    <t>Sales (2)</t>
  </si>
  <si>
    <t xml:space="preserve">SKU 3 - </t>
  </si>
  <si>
    <t>Sales (3)</t>
  </si>
  <si>
    <t>รายได้รวม (บาท)</t>
  </si>
  <si>
    <t>ประมาณต้นทุนและกำไรขั้นต้น</t>
  </si>
  <si>
    <t>อัตรากำไรขั้นต้น</t>
  </si>
  <si>
    <t>กำไรขั้นต้น</t>
  </si>
  <si>
    <t>ต้นทุนขาย</t>
  </si>
  <si>
    <t xml:space="preserve">SKU 2 - </t>
  </si>
  <si>
    <t>รวมต้นทุน</t>
  </si>
  <si>
    <t>ค่าใช้จ่ายขาย</t>
  </si>
  <si>
    <t>ค่าส่งเสริมการขาย</t>
  </si>
  <si>
    <t>ค่าขนส่งและคลังสินค้า</t>
  </si>
  <si>
    <t>[ใส่รายการค่าใช้จ่าย]</t>
  </si>
  <si>
    <t>รวมค่าใช้จ่ายในการขาย</t>
  </si>
  <si>
    <t>ค่าใช้จ่ายบริหาร</t>
  </si>
  <si>
    <t>ค่าใช้จ่ายจัดสรรจากส่วนกลาง</t>
  </si>
  <si>
    <t>รวมค่าใช้จ่ายบริหาร</t>
  </si>
  <si>
    <t>รวมค่าใช้จ่าย</t>
  </si>
  <si>
    <t>CASH FLOW</t>
  </si>
  <si>
    <t>CASH INFLOW</t>
  </si>
  <si>
    <t>Sales</t>
  </si>
  <si>
    <t>CASH OUTFLOW</t>
  </si>
  <si>
    <t>Production cost</t>
  </si>
  <si>
    <t>Selling expenses</t>
  </si>
  <si>
    <t>Admin expenses</t>
  </si>
  <si>
    <t>Total expenses</t>
  </si>
  <si>
    <t>NET OPERATING CASH FLOW</t>
  </si>
  <si>
    <t>CAPEX</t>
  </si>
  <si>
    <t>NET CASH FLOW</t>
  </si>
  <si>
    <t>RETURN ON INVESTMENT</t>
  </si>
  <si>
    <t>Cash Inflow</t>
  </si>
  <si>
    <t>Cash Outflow</t>
  </si>
  <si>
    <t>Net Operating Cash Flow</t>
  </si>
  <si>
    <t>Net Cash Flow</t>
  </si>
  <si>
    <t>Accumulated Cash Flow</t>
  </si>
  <si>
    <t>Payback Period (Years:Months)</t>
  </si>
  <si>
    <t>ROI (X)</t>
  </si>
  <si>
    <t>Discounted Rate</t>
  </si>
  <si>
    <t>Benefit/Cost Ratio</t>
  </si>
  <si>
    <t>มูลค่าปัจจุบันของกระแสเงินสดรับ</t>
  </si>
  <si>
    <t>มูลค่าปัจจุบันของกระแสเงินสดจ่าย</t>
  </si>
  <si>
    <t>Net Present Value (NPV)</t>
  </si>
  <si>
    <t>Internal Rate of Return (IRR)</t>
  </si>
  <si>
    <t xml:space="preserve"> </t>
  </si>
  <si>
    <t>Audited</t>
  </si>
  <si>
    <t>Estimated</t>
  </si>
  <si>
    <t>Forecast</t>
  </si>
  <si>
    <t>Sales - existing business</t>
  </si>
  <si>
    <t>% Sales growth - existing business</t>
  </si>
  <si>
    <t>Revenue from IDE Project</t>
  </si>
  <si>
    <t>% Growth in IDE Project</t>
  </si>
  <si>
    <t>TOTAL SALES</t>
  </si>
  <si>
    <t>SALES FROM IDEs</t>
  </si>
  <si>
    <t>% IDE CONTRIBUTION</t>
  </si>
  <si>
    <t>% GP of existing business</t>
  </si>
  <si>
    <t>% GP of IDE Project</t>
  </si>
  <si>
    <t>GP of existing business</t>
  </si>
  <si>
    <t>GP of IDE Project</t>
  </si>
  <si>
    <t>Total GP</t>
  </si>
  <si>
    <t>% Selling and marketing expenses</t>
  </si>
  <si>
    <t xml:space="preserve">% Growth in admin exp. </t>
  </si>
  <si>
    <t>Other income</t>
  </si>
  <si>
    <t>PE</t>
  </si>
  <si>
    <t>Enterprise Value</t>
  </si>
  <si>
    <t>ค่าใช้จ่ายในการขาย</t>
  </si>
  <si>
    <t>ค่าใช้จ่ายในการบริหาร</t>
  </si>
  <si>
    <t>กำไรก่อนหักต้นทุนทางการเงิน</t>
  </si>
  <si>
    <t>ต้นทุนทางการเงิน</t>
  </si>
  <si>
    <t xml:space="preserve">กำไรสุทธิก่อนหักภาษี </t>
  </si>
  <si>
    <t>ภาษีเงินได้นิติบุคคล</t>
  </si>
  <si>
    <t xml:space="preserve">กำไรสุทธิ </t>
  </si>
  <si>
    <t xml:space="preserve">ระยะเวลาคืนทุน </t>
  </si>
  <si>
    <t>กำไร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</si>
</sst>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_ ;[Red]\-#,##0\ "/>
    <numFmt numFmtId="167" formatCode="_-* #,##0_-;\-* #,##0_-;_-* &quot;-&quot;??_-;_-@_-"/>
    <numFmt numFmtId="168" formatCode="0.0%"/>
    <numFmt numFmtId="169" formatCode="_(* #,##0_);_(* \(#,##0\);_(* &quot;-&quot;??_);_(@_)"/>
    <numFmt numFmtId="170" formatCode="#,##0.00_ ;[Red]\-#,##0.00\ "/>
    <numFmt numFmtId="171" formatCode="_-* #,##0.0_-;\-* #,##0.0_-;_-* &quot;-&quot;??_-;_-@_-"/>
    <numFmt numFmtId="172" formatCode="0.0_ ;[Red]\-0.0\ "/>
  </numFmts>
  <fonts count="1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b/>
      <sz val="12"/>
      <color theme="0"/>
      <name val="Tahoma"/>
      <family val="2"/>
    </font>
    <font>
      <b/>
      <sz val="12"/>
      <name val="Tahoma"/>
      <family val="2"/>
    </font>
    <font>
      <sz val="12"/>
      <color theme="1"/>
      <name val="Tahoma"/>
      <family val="2"/>
    </font>
    <font>
      <sz val="12"/>
      <color theme="0"/>
      <name val="Tahoma"/>
      <family val="2"/>
    </font>
    <font>
      <sz val="12"/>
      <name val="Tahoma"/>
      <family val="2"/>
    </font>
    <font>
      <b/>
      <sz val="16"/>
      <name val="Cordia New"/>
      <family val="2"/>
    </font>
    <font>
      <sz val="16"/>
      <name val="Cordia New"/>
      <family val="2"/>
    </font>
    <font>
      <b/>
      <sz val="16"/>
      <color theme="1"/>
      <name val="Cordia New"/>
      <family val="2"/>
    </font>
    <font>
      <sz val="16"/>
      <color theme="1"/>
      <name val="Cordia New"/>
      <family val="2"/>
    </font>
    <font>
      <sz val="14"/>
      <color theme="1"/>
      <name val="Cordia New"/>
      <family val="2"/>
    </font>
    <font>
      <b/>
      <sz val="14"/>
      <color theme="1"/>
      <name val="Cordia New"/>
      <family val="2"/>
    </font>
    <font>
      <sz val="14"/>
      <name val="Cordia New"/>
      <family val="2"/>
    </font>
    <font>
      <b/>
      <u/>
      <sz val="14"/>
      <color theme="1"/>
      <name val="Cordia New"/>
      <family val="2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0">
    <xf numFmtId="0" fontId="0" fillId="0" borderId="0" xfId="0"/>
    <xf numFmtId="0" fontId="3" fillId="3" borderId="9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5" fillId="0" borderId="0" xfId="0" applyFont="1"/>
    <xf numFmtId="167" fontId="6" fillId="3" borderId="11" xfId="1" applyNumberFormat="1" applyFont="1" applyFill="1" applyBorder="1" applyAlignment="1">
      <alignment horizontal="center"/>
    </xf>
    <xf numFmtId="167" fontId="6" fillId="3" borderId="12" xfId="1" applyNumberFormat="1" applyFont="1" applyFill="1" applyBorder="1" applyAlignment="1">
      <alignment horizontal="center"/>
    </xf>
    <xf numFmtId="167" fontId="7" fillId="4" borderId="12" xfId="1" applyNumberFormat="1" applyFont="1" applyFill="1" applyBorder="1" applyAlignment="1">
      <alignment horizontal="center"/>
    </xf>
    <xf numFmtId="167" fontId="6" fillId="2" borderId="12" xfId="1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164" fontId="5" fillId="0" borderId="0" xfId="3" applyFont="1" applyFill="1" applyBorder="1"/>
    <xf numFmtId="38" fontId="5" fillId="0" borderId="0" xfId="2" applyNumberFormat="1" applyFont="1" applyFill="1" applyBorder="1"/>
    <xf numFmtId="168" fontId="5" fillId="0" borderId="0" xfId="2" applyNumberFormat="1" applyFont="1" applyFill="1" applyBorder="1"/>
    <xf numFmtId="10" fontId="5" fillId="4" borderId="0" xfId="2" applyNumberFormat="1" applyFont="1" applyFill="1" applyBorder="1"/>
    <xf numFmtId="168" fontId="5" fillId="0" borderId="0" xfId="2" applyNumberFormat="1" applyFont="1" applyBorder="1"/>
    <xf numFmtId="38" fontId="5" fillId="4" borderId="0" xfId="2" applyNumberFormat="1" applyFont="1" applyFill="1" applyBorder="1"/>
    <xf numFmtId="38" fontId="5" fillId="0" borderId="0" xfId="2" applyNumberFormat="1" applyFont="1" applyBorder="1"/>
    <xf numFmtId="0" fontId="5" fillId="0" borderId="13" xfId="0" applyFont="1" applyBorder="1"/>
    <xf numFmtId="0" fontId="5" fillId="0" borderId="14" xfId="0" applyFont="1" applyBorder="1" applyAlignment="1">
      <alignment horizontal="right"/>
    </xf>
    <xf numFmtId="168" fontId="5" fillId="0" borderId="14" xfId="2" applyNumberFormat="1" applyFont="1" applyBorder="1"/>
    <xf numFmtId="38" fontId="5" fillId="0" borderId="14" xfId="2" applyNumberFormat="1" applyFont="1" applyBorder="1"/>
    <xf numFmtId="38" fontId="5" fillId="0" borderId="15" xfId="2" applyNumberFormat="1" applyFont="1" applyBorder="1"/>
    <xf numFmtId="0" fontId="5" fillId="0" borderId="16" xfId="0" applyFont="1" applyBorder="1"/>
    <xf numFmtId="38" fontId="5" fillId="0" borderId="17" xfId="2" applyNumberFormat="1" applyFont="1" applyBorder="1"/>
    <xf numFmtId="0" fontId="5" fillId="0" borderId="18" xfId="0" applyFont="1" applyBorder="1"/>
    <xf numFmtId="0" fontId="5" fillId="0" borderId="19" xfId="0" applyFont="1" applyBorder="1" applyAlignment="1">
      <alignment horizontal="right"/>
    </xf>
    <xf numFmtId="168" fontId="5" fillId="0" borderId="19" xfId="2" applyNumberFormat="1" applyFont="1" applyBorder="1"/>
    <xf numFmtId="168" fontId="5" fillId="5" borderId="19" xfId="2" applyNumberFormat="1" applyFont="1" applyFill="1" applyBorder="1"/>
    <xf numFmtId="168" fontId="5" fillId="0" borderId="20" xfId="2" applyNumberFormat="1" applyFont="1" applyBorder="1"/>
    <xf numFmtId="38" fontId="5" fillId="0" borderId="0" xfId="0" applyNumberFormat="1" applyFont="1" applyAlignment="1">
      <alignment horizontal="right"/>
    </xf>
    <xf numFmtId="164" fontId="5" fillId="0" borderId="0" xfId="3" applyFont="1" applyBorder="1"/>
    <xf numFmtId="164" fontId="0" fillId="0" borderId="0" xfId="3" applyFont="1"/>
    <xf numFmtId="164" fontId="0" fillId="0" borderId="6" xfId="3" applyFont="1" applyBorder="1"/>
    <xf numFmtId="164" fontId="0" fillId="0" borderId="0" xfId="0" applyNumberFormat="1"/>
    <xf numFmtId="164" fontId="0" fillId="0" borderId="6" xfId="0" applyNumberFormat="1" applyBorder="1"/>
    <xf numFmtId="167" fontId="0" fillId="0" borderId="6" xfId="0" applyNumberFormat="1" applyBorder="1"/>
    <xf numFmtId="165" fontId="0" fillId="0" borderId="0" xfId="0" applyNumberFormat="1"/>
    <xf numFmtId="0" fontId="12" fillId="0" borderId="0" xfId="0" applyFont="1"/>
    <xf numFmtId="0" fontId="12" fillId="0" borderId="0" xfId="0" applyFont="1" applyAlignment="1">
      <alignment horizontal="center"/>
    </xf>
    <xf numFmtId="166" fontId="12" fillId="4" borderId="4" xfId="1" applyNumberFormat="1" applyFont="1" applyFill="1" applyBorder="1"/>
    <xf numFmtId="0" fontId="12" fillId="4" borderId="4" xfId="0" applyFont="1" applyFill="1" applyBorder="1"/>
    <xf numFmtId="167" fontId="12" fillId="4" borderId="4" xfId="0" applyNumberFormat="1" applyFont="1" applyFill="1" applyBorder="1"/>
    <xf numFmtId="167" fontId="12" fillId="0" borderId="0" xfId="0" applyNumberFormat="1" applyFont="1"/>
    <xf numFmtId="0" fontId="13" fillId="0" borderId="0" xfId="0" applyFont="1"/>
    <xf numFmtId="166" fontId="13" fillId="0" borderId="2" xfId="1" applyNumberFormat="1" applyFont="1" applyBorder="1"/>
    <xf numFmtId="166" fontId="13" fillId="0" borderId="0" xfId="1" applyNumberFormat="1" applyFont="1" applyBorder="1"/>
    <xf numFmtId="166" fontId="12" fillId="0" borderId="0" xfId="0" applyNumberFormat="1" applyFont="1"/>
    <xf numFmtId="167" fontId="12" fillId="4" borderId="4" xfId="1" applyNumberFormat="1" applyFont="1" applyFill="1" applyBorder="1"/>
    <xf numFmtId="10" fontId="12" fillId="0" borderId="0" xfId="2" applyNumberFormat="1" applyFont="1"/>
    <xf numFmtId="165" fontId="12" fillId="4" borderId="4" xfId="1" applyFont="1" applyFill="1" applyBorder="1"/>
    <xf numFmtId="167" fontId="13" fillId="0" borderId="2" xfId="1" applyNumberFormat="1" applyFont="1" applyBorder="1"/>
    <xf numFmtId="166" fontId="12" fillId="4" borderId="4" xfId="0" applyNumberFormat="1" applyFont="1" applyFill="1" applyBorder="1"/>
    <xf numFmtId="166" fontId="13" fillId="0" borderId="8" xfId="0" applyNumberFormat="1" applyFont="1" applyBorder="1"/>
    <xf numFmtId="38" fontId="12" fillId="0" borderId="0" xfId="0" applyNumberFormat="1" applyFont="1"/>
    <xf numFmtId="0" fontId="8" fillId="6" borderId="1" xfId="4" applyFont="1" applyFill="1" applyBorder="1" applyAlignment="1" applyProtection="1">
      <alignment vertical="top"/>
      <protection hidden="1"/>
    </xf>
    <xf numFmtId="0" fontId="8" fillId="6" borderId="9" xfId="4" applyFont="1" applyFill="1" applyBorder="1" applyAlignment="1" applyProtection="1">
      <alignment horizontal="center"/>
      <protection hidden="1"/>
    </xf>
    <xf numFmtId="0" fontId="8" fillId="6" borderId="5" xfId="4" applyFont="1" applyFill="1" applyBorder="1" applyAlignment="1" applyProtection="1">
      <alignment vertical="top"/>
      <protection hidden="1"/>
    </xf>
    <xf numFmtId="0" fontId="9" fillId="6" borderId="12" xfId="4" applyFont="1" applyFill="1" applyBorder="1" applyAlignment="1" applyProtection="1">
      <alignment horizontal="center"/>
      <protection hidden="1"/>
    </xf>
    <xf numFmtId="166" fontId="11" fillId="0" borderId="6" xfId="4" applyNumberFormat="1" applyFont="1" applyBorder="1" applyProtection="1">
      <protection hidden="1"/>
    </xf>
    <xf numFmtId="166" fontId="11" fillId="0" borderId="0" xfId="5" applyNumberFormat="1" applyFont="1" applyBorder="1" applyProtection="1">
      <protection hidden="1"/>
    </xf>
    <xf numFmtId="10" fontId="12" fillId="4" borderId="4" xfId="2" applyNumberFormat="1" applyFont="1" applyFill="1" applyBorder="1"/>
    <xf numFmtId="169" fontId="12" fillId="0" borderId="0" xfId="0" applyNumberFormat="1" applyFont="1"/>
    <xf numFmtId="166" fontId="14" fillId="4" borderId="4" xfId="0" applyNumberFormat="1" applyFont="1" applyFill="1" applyBorder="1"/>
    <xf numFmtId="0" fontId="11" fillId="0" borderId="0" xfId="4" applyFont="1" applyProtection="1">
      <protection hidden="1"/>
    </xf>
    <xf numFmtId="166" fontId="11" fillId="0" borderId="0" xfId="4" applyNumberFormat="1" applyFont="1" applyProtection="1">
      <protection hidden="1"/>
    </xf>
    <xf numFmtId="0" fontId="10" fillId="0" borderId="0" xfId="4" applyFont="1" applyProtection="1">
      <protection hidden="1"/>
    </xf>
    <xf numFmtId="166" fontId="10" fillId="0" borderId="0" xfId="4" applyNumberFormat="1" applyFont="1" applyProtection="1">
      <protection hidden="1"/>
    </xf>
    <xf numFmtId="0" fontId="11" fillId="7" borderId="0" xfId="4" applyFont="1" applyFill="1" applyProtection="1">
      <protection hidden="1"/>
    </xf>
    <xf numFmtId="0" fontId="10" fillId="7" borderId="0" xfId="4" applyFont="1" applyFill="1" applyProtection="1">
      <protection hidden="1"/>
    </xf>
    <xf numFmtId="166" fontId="10" fillId="7" borderId="0" xfId="4" applyNumberFormat="1" applyFont="1" applyFill="1" applyAlignment="1" applyProtection="1">
      <alignment horizontal="right"/>
      <protection hidden="1"/>
    </xf>
    <xf numFmtId="166" fontId="10" fillId="7" borderId="0" xfId="4" applyNumberFormat="1" applyFont="1" applyFill="1" applyAlignment="1" applyProtection="1">
      <alignment horizontal="left"/>
      <protection hidden="1"/>
    </xf>
    <xf numFmtId="166" fontId="11" fillId="7" borderId="0" xfId="4" applyNumberFormat="1" applyFont="1" applyFill="1" applyProtection="1">
      <protection hidden="1"/>
    </xf>
    <xf numFmtId="170" fontId="10" fillId="7" borderId="0" xfId="4" applyNumberFormat="1" applyFont="1" applyFill="1" applyProtection="1">
      <protection hidden="1"/>
    </xf>
    <xf numFmtId="166" fontId="10" fillId="7" borderId="0" xfId="4" applyNumberFormat="1" applyFont="1" applyFill="1" applyProtection="1">
      <protection hidden="1"/>
    </xf>
    <xf numFmtId="171" fontId="10" fillId="7" borderId="0" xfId="6" applyNumberFormat="1" applyFont="1" applyFill="1" applyBorder="1" applyProtection="1">
      <protection hidden="1"/>
    </xf>
    <xf numFmtId="10" fontId="10" fillId="7" borderId="0" xfId="4" applyNumberFormat="1" applyFont="1" applyFill="1" applyProtection="1">
      <protection hidden="1"/>
    </xf>
    <xf numFmtId="9" fontId="10" fillId="7" borderId="0" xfId="4" applyNumberFormat="1" applyFont="1" applyFill="1" applyProtection="1">
      <protection hidden="1"/>
    </xf>
    <xf numFmtId="172" fontId="10" fillId="7" borderId="0" xfId="4" applyNumberFormat="1" applyFont="1" applyFill="1" applyProtection="1">
      <protection hidden="1"/>
    </xf>
    <xf numFmtId="0" fontId="8" fillId="6" borderId="3" xfId="4" applyFont="1" applyFill="1" applyBorder="1" applyAlignment="1" applyProtection="1">
      <alignment vertical="top"/>
      <protection hidden="1"/>
    </xf>
    <xf numFmtId="0" fontId="8" fillId="6" borderId="7" xfId="4" applyFont="1" applyFill="1" applyBorder="1" applyAlignment="1" applyProtection="1">
      <alignment vertical="top"/>
      <protection hidden="1"/>
    </xf>
    <xf numFmtId="0" fontId="8" fillId="6" borderId="1" xfId="4" applyFont="1" applyFill="1" applyBorder="1" applyAlignment="1" applyProtection="1">
      <alignment horizontal="center"/>
      <protection hidden="1"/>
    </xf>
    <xf numFmtId="0" fontId="8" fillId="6" borderId="2" xfId="4" applyFont="1" applyFill="1" applyBorder="1" applyAlignment="1" applyProtection="1">
      <alignment horizontal="center"/>
      <protection hidden="1"/>
    </xf>
    <xf numFmtId="0" fontId="9" fillId="6" borderId="5" xfId="4" applyFont="1" applyFill="1" applyBorder="1" applyAlignment="1" applyProtection="1">
      <alignment horizontal="center"/>
      <protection hidden="1"/>
    </xf>
    <xf numFmtId="0" fontId="9" fillId="6" borderId="6" xfId="4" applyFont="1" applyFill="1" applyBorder="1" applyAlignment="1" applyProtection="1">
      <alignment horizontal="center"/>
      <protection hidden="1"/>
    </xf>
    <xf numFmtId="0" fontId="13" fillId="0" borderId="0" xfId="0" applyFont="1" applyAlignment="1">
      <alignment horizontal="right"/>
    </xf>
    <xf numFmtId="0" fontId="13" fillId="6" borderId="1" xfId="0" applyFont="1" applyFill="1" applyBorder="1"/>
    <xf numFmtId="0" fontId="13" fillId="6" borderId="2" xfId="0" applyFont="1" applyFill="1" applyBorder="1"/>
    <xf numFmtId="0" fontId="13" fillId="6" borderId="5" xfId="0" applyFont="1" applyFill="1" applyBorder="1"/>
    <xf numFmtId="0" fontId="13" fillId="6" borderId="6" xfId="0" applyFont="1" applyFill="1" applyBorder="1"/>
    <xf numFmtId="0" fontId="8" fillId="0" borderId="0" xfId="4" applyFont="1" applyProtection="1">
      <protection hidden="1"/>
    </xf>
    <xf numFmtId="0" fontId="9" fillId="0" borderId="0" xfId="4" applyFont="1" applyAlignment="1" applyProtection="1">
      <alignment horizontal="center"/>
      <protection hidden="1"/>
    </xf>
    <xf numFmtId="0" fontId="9" fillId="0" borderId="0" xfId="4" applyFont="1" applyProtection="1">
      <protection hidden="1"/>
    </xf>
    <xf numFmtId="10" fontId="11" fillId="4" borderId="0" xfId="5" applyNumberFormat="1" applyFont="1" applyFill="1" applyBorder="1" applyProtection="1">
      <protection locked="0"/>
    </xf>
    <xf numFmtId="0" fontId="13" fillId="0" borderId="0" xfId="0" applyFont="1" applyProtection="1">
      <protection hidden="1"/>
    </xf>
    <xf numFmtId="0" fontId="13" fillId="6" borderId="1" xfId="0" applyFont="1" applyFill="1" applyBorder="1" applyAlignment="1" applyProtection="1">
      <alignment horizontal="right"/>
      <protection hidden="1"/>
    </xf>
    <xf numFmtId="0" fontId="13" fillId="6" borderId="9" xfId="0" applyFont="1" applyFill="1" applyBorder="1" applyAlignment="1" applyProtection="1">
      <alignment horizontal="right"/>
      <protection hidden="1"/>
    </xf>
    <xf numFmtId="0" fontId="13" fillId="6" borderId="2" xfId="0" applyFont="1" applyFill="1" applyBorder="1" applyAlignment="1" applyProtection="1">
      <alignment horizontal="right"/>
      <protection hidden="1"/>
    </xf>
    <xf numFmtId="0" fontId="13" fillId="6" borderId="5" xfId="0" applyFont="1" applyFill="1" applyBorder="1" applyAlignment="1" applyProtection="1">
      <alignment horizontal="right"/>
      <protection hidden="1"/>
    </xf>
    <xf numFmtId="0" fontId="13" fillId="6" borderId="12" xfId="0" applyFont="1" applyFill="1" applyBorder="1" applyAlignment="1" applyProtection="1">
      <alignment horizontal="right"/>
      <protection hidden="1"/>
    </xf>
    <xf numFmtId="0" fontId="13" fillId="6" borderId="6" xfId="0" applyFont="1" applyFill="1" applyBorder="1" applyAlignment="1" applyProtection="1">
      <alignment horizontal="right"/>
      <protection hidden="1"/>
    </xf>
    <xf numFmtId="0" fontId="12" fillId="0" borderId="0" xfId="0" applyFont="1" applyProtection="1">
      <protection hidden="1"/>
    </xf>
    <xf numFmtId="0" fontId="12" fillId="4" borderId="0" xfId="0" applyFont="1" applyFill="1" applyProtection="1">
      <protection hidden="1"/>
    </xf>
    <xf numFmtId="167" fontId="12" fillId="0" borderId="0" xfId="1" applyNumberFormat="1" applyFont="1" applyProtection="1">
      <protection hidden="1"/>
    </xf>
    <xf numFmtId="9" fontId="12" fillId="4" borderId="0" xfId="0" applyNumberFormat="1" applyFont="1" applyFill="1" applyProtection="1">
      <protection hidden="1"/>
    </xf>
    <xf numFmtId="38" fontId="12" fillId="0" borderId="4" xfId="0" applyNumberFormat="1" applyFont="1" applyBorder="1" applyProtection="1">
      <protection hidden="1"/>
    </xf>
    <xf numFmtId="38" fontId="12" fillId="0" borderId="0" xfId="1" applyNumberFormat="1" applyFont="1" applyProtection="1">
      <protection hidden="1"/>
    </xf>
    <xf numFmtId="38" fontId="12" fillId="0" borderId="0" xfId="0" applyNumberFormat="1" applyFont="1" applyProtection="1">
      <protection hidden="1"/>
    </xf>
    <xf numFmtId="9" fontId="12" fillId="0" borderId="0" xfId="0" applyNumberFormat="1" applyFont="1" applyProtection="1">
      <protection hidden="1"/>
    </xf>
    <xf numFmtId="167" fontId="12" fillId="0" borderId="0" xfId="0" applyNumberFormat="1" applyFont="1" applyProtection="1">
      <protection hidden="1"/>
    </xf>
    <xf numFmtId="2" fontId="12" fillId="0" borderId="0" xfId="0" applyNumberFormat="1" applyFont="1" applyProtection="1">
      <protection hidden="1"/>
    </xf>
    <xf numFmtId="38" fontId="13" fillId="0" borderId="0" xfId="0" applyNumberFormat="1" applyFont="1" applyProtection="1">
      <protection hidden="1"/>
    </xf>
    <xf numFmtId="38" fontId="12" fillId="0" borderId="6" xfId="0" applyNumberFormat="1" applyFont="1" applyBorder="1" applyProtection="1">
      <protection hidden="1"/>
    </xf>
    <xf numFmtId="38" fontId="12" fillId="0" borderId="10" xfId="0" applyNumberFormat="1" applyFont="1" applyBorder="1" applyProtection="1">
      <protection hidden="1"/>
    </xf>
    <xf numFmtId="38" fontId="13" fillId="0" borderId="0" xfId="2" applyNumberFormat="1" applyFont="1" applyBorder="1" applyProtection="1">
      <protection hidden="1"/>
    </xf>
    <xf numFmtId="38" fontId="13" fillId="0" borderId="6" xfId="0" applyNumberFormat="1" applyFont="1" applyBorder="1" applyProtection="1">
      <protection hidden="1"/>
    </xf>
    <xf numFmtId="38" fontId="13" fillId="0" borderId="8" xfId="0" applyNumberFormat="1" applyFont="1" applyBorder="1" applyProtection="1">
      <protection hidden="1"/>
    </xf>
    <xf numFmtId="167" fontId="12" fillId="0" borderId="0" xfId="1" applyNumberFormat="1" applyFont="1" applyFill="1" applyBorder="1"/>
    <xf numFmtId="167" fontId="12" fillId="0" borderId="10" xfId="0" applyNumberFormat="1" applyFont="1" applyBorder="1"/>
    <xf numFmtId="169" fontId="13" fillId="0" borderId="0" xfId="0" applyNumberFormat="1" applyFont="1"/>
    <xf numFmtId="0" fontId="15" fillId="6" borderId="2" xfId="0" applyFont="1" applyFill="1" applyBorder="1" applyAlignment="1">
      <alignment horizontal="center"/>
    </xf>
    <xf numFmtId="0" fontId="15" fillId="6" borderId="9" xfId="0" applyFont="1" applyFill="1" applyBorder="1" applyAlignment="1">
      <alignment horizontal="center"/>
    </xf>
    <xf numFmtId="0" fontId="13" fillId="6" borderId="6" xfId="0" applyFont="1" applyFill="1" applyBorder="1" applyAlignment="1">
      <alignment horizontal="center"/>
    </xf>
    <xf numFmtId="0" fontId="13" fillId="6" borderId="12" xfId="0" applyFont="1" applyFill="1" applyBorder="1" applyAlignment="1">
      <alignment horizontal="center"/>
    </xf>
    <xf numFmtId="0" fontId="13" fillId="6" borderId="1" xfId="0" applyFont="1" applyFill="1" applyBorder="1" applyAlignment="1" applyProtection="1">
      <alignment horizontal="center" vertical="top"/>
      <protection hidden="1"/>
    </xf>
    <xf numFmtId="0" fontId="13" fillId="6" borderId="2" xfId="0" applyFont="1" applyFill="1" applyBorder="1" applyAlignment="1" applyProtection="1">
      <alignment horizontal="center" vertical="top"/>
      <protection hidden="1"/>
    </xf>
    <xf numFmtId="0" fontId="13" fillId="6" borderId="3" xfId="0" applyFont="1" applyFill="1" applyBorder="1" applyAlignment="1" applyProtection="1">
      <alignment horizontal="center" vertical="top"/>
      <protection hidden="1"/>
    </xf>
    <xf numFmtId="0" fontId="13" fillId="6" borderId="5" xfId="0" applyFont="1" applyFill="1" applyBorder="1" applyAlignment="1" applyProtection="1">
      <alignment horizontal="center" vertical="top"/>
      <protection hidden="1"/>
    </xf>
    <xf numFmtId="0" fontId="13" fillId="6" borderId="6" xfId="0" applyFont="1" applyFill="1" applyBorder="1" applyAlignment="1" applyProtection="1">
      <alignment horizontal="center" vertical="top"/>
      <protection hidden="1"/>
    </xf>
    <xf numFmtId="0" fontId="13" fillId="6" borderId="7" xfId="0" applyFont="1" applyFill="1" applyBorder="1" applyAlignment="1" applyProtection="1">
      <alignment horizontal="center" vertical="top"/>
      <protection hidden="1"/>
    </xf>
    <xf numFmtId="0" fontId="3" fillId="3" borderId="1" xfId="0" applyFont="1" applyFill="1" applyBorder="1" applyAlignment="1">
      <alignment horizontal="center" vertical="center"/>
    </xf>
  </cellXfs>
  <cellStyles count="7">
    <cellStyle name="Comma [0] 2" xfId="3" xr:uid="{F4C66054-2BD9-4C00-A4C4-1D230FA1ECE6}"/>
    <cellStyle name="Comma 2" xfId="6" xr:uid="{36546F16-516C-43BB-8651-E3CE448BBAAE}"/>
    <cellStyle name="Normal 2" xfId="4" xr:uid="{3FED0997-99FB-4FB4-BB15-AC1FCD228846}"/>
    <cellStyle name="Percent 2" xfId="5" xr:uid="{8BBDF2D0-A836-48BC-BBB8-66A936F6D4BD}"/>
    <cellStyle name="เปอร์เซ็นต์" xfId="2" builtinId="5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thiti" panose="00000500000000000000" pitchFamily="2" charset="-34"/>
                <a:ea typeface="Tahoma" panose="020B0604030504040204" pitchFamily="34" charset="0"/>
                <a:cs typeface="Athiti" panose="00000500000000000000" pitchFamily="2" charset="-34"/>
              </a:defRPr>
            </a:pPr>
            <a:r>
              <a:rPr lang="en-US" sz="1800" b="1"/>
              <a:t>Sales</a:t>
            </a:r>
            <a:r>
              <a:rPr lang="en-US" sz="1800" b="1" baseline="0"/>
              <a:t> Forecast</a:t>
            </a:r>
            <a:endParaRPr lang="en-US" sz="18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thiti" panose="00000500000000000000" pitchFamily="2" charset="-34"/>
              <a:ea typeface="Tahoma" panose="020B0604030504040204" pitchFamily="34" charset="0"/>
              <a:cs typeface="Athiti" panose="00000500000000000000" pitchFamily="2" charset="-34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'IDE Growth'!$B$4</c:f>
              <c:strCache>
                <c:ptCount val="1"/>
                <c:pt idx="0">
                  <c:v>Sales - existing business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'IDE Growth'!$D$4:$M$4</c:f>
              <c:numCache>
                <c:formatCode>_-* #,##0_-;\-* #,##0_-;_-* "-"_-;_-@_-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_);[Red]\(#,##0\)">
                  <c:v>0</c:v>
                </c:pt>
                <c:pt idx="5" formatCode="#,##0_);[Red]\(#,##0\)">
                  <c:v>0</c:v>
                </c:pt>
                <c:pt idx="6" formatCode="#,##0_);[Red]\(#,##0\)">
                  <c:v>0</c:v>
                </c:pt>
                <c:pt idx="7" formatCode="#,##0_);[Red]\(#,##0\)">
                  <c:v>0</c:v>
                </c:pt>
                <c:pt idx="8" formatCode="#,##0_);[Red]\(#,##0\)">
                  <c:v>0</c:v>
                </c:pt>
                <c:pt idx="9" formatCode="#,##0_);[Red]\(#,##0\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55-4226-BC5F-3E92816D0C68}"/>
            </c:ext>
          </c:extLst>
        </c:ser>
        <c:ser>
          <c:idx val="1"/>
          <c:order val="1"/>
          <c:tx>
            <c:strRef>
              <c:f>'IDE Growth'!$B$6</c:f>
              <c:strCache>
                <c:ptCount val="1"/>
                <c:pt idx="0">
                  <c:v>Revenue from IDE Project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0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  <c:pt idx="6">
                <c:v>2025</c:v>
              </c:pt>
              <c:pt idx="7">
                <c:v>2026</c:v>
              </c:pt>
              <c:pt idx="8">
                <c:v>2027</c:v>
              </c:pt>
              <c:pt idx="9">
                <c:v>2028</c:v>
              </c:pt>
            </c:numLit>
          </c:cat>
          <c:val>
            <c:numRef>
              <c:f>'IDE Growth'!$D$6:$M$6</c:f>
              <c:numCache>
                <c:formatCode>0.0%</c:formatCode>
                <c:ptCount val="10"/>
                <c:pt idx="4" formatCode="#,##0_);[Red]\(#,##0\)">
                  <c:v>0</c:v>
                </c:pt>
                <c:pt idx="5" formatCode="#,##0_);[Red]\(#,##0\)">
                  <c:v>50000000</c:v>
                </c:pt>
                <c:pt idx="6" formatCode="#,##0_);[Red]\(#,##0\)">
                  <c:v>200000000</c:v>
                </c:pt>
                <c:pt idx="7" formatCode="#,##0_);[Red]\(#,##0\)">
                  <c:v>400000000</c:v>
                </c:pt>
                <c:pt idx="8" formatCode="#,##0_);[Red]\(#,##0\)">
                  <c:v>600000000</c:v>
                </c:pt>
                <c:pt idx="9" formatCode="#,##0_);[Red]\(#,##0\)">
                  <c:v>900000000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55-4226-BC5F-3E92816D0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21006848"/>
        <c:axId val="620912848"/>
      </c:barChart>
      <c:catAx>
        <c:axId val="62100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thiti" panose="00000500000000000000" pitchFamily="2" charset="-34"/>
                <a:ea typeface="Tahoma" panose="020B0604030504040204" pitchFamily="34" charset="0"/>
                <a:cs typeface="Athiti" panose="00000500000000000000" pitchFamily="2" charset="-34"/>
              </a:defRPr>
            </a:pPr>
            <a:endParaRPr lang="en-US"/>
          </a:p>
        </c:txPr>
        <c:crossAx val="620912848"/>
        <c:crosses val="autoZero"/>
        <c:auto val="1"/>
        <c:lblAlgn val="ctr"/>
        <c:lblOffset val="100"/>
        <c:noMultiLvlLbl val="0"/>
      </c:catAx>
      <c:valAx>
        <c:axId val="62091284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thiti" panose="00000500000000000000" pitchFamily="2" charset="-34"/>
                <a:ea typeface="Tahoma" panose="020B0604030504040204" pitchFamily="34" charset="0"/>
                <a:cs typeface="Athiti" panose="00000500000000000000" pitchFamily="2" charset="-34"/>
              </a:defRPr>
            </a:pPr>
            <a:endParaRPr lang="en-US"/>
          </a:p>
        </c:txPr>
        <c:crossAx val="621006848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thiti" panose="00000500000000000000" pitchFamily="2" charset="-34"/>
                    <a:ea typeface="Tahoma" panose="020B0604030504040204" pitchFamily="34" charset="0"/>
                    <a:cs typeface="Athiti" panose="00000500000000000000" pitchFamily="2" charset="-34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thiti" panose="00000500000000000000" pitchFamily="2" charset="-34"/>
              <a:ea typeface="Tahoma" panose="020B0604030504040204" pitchFamily="34" charset="0"/>
              <a:cs typeface="Athiti" panose="00000500000000000000" pitchFamily="2" charset="-34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Athiti" panose="00000500000000000000" pitchFamily="2" charset="-34"/>
          <a:ea typeface="Tahoma" panose="020B0604030504040204" pitchFamily="34" charset="0"/>
          <a:cs typeface="Athiti" panose="00000500000000000000" pitchFamily="2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thiti" panose="00000500000000000000" pitchFamily="2" charset="-34"/>
                <a:ea typeface="Tahoma" panose="020B0604030504040204" pitchFamily="34" charset="0"/>
                <a:cs typeface="Athiti" panose="00000500000000000000" pitchFamily="2" charset="-34"/>
              </a:defRPr>
            </a:pPr>
            <a:r>
              <a:rPr lang="en-US" sz="1800" b="1"/>
              <a:t>Revenue &amp; Net Profit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thiti" panose="00000500000000000000" pitchFamily="2" charset="-34"/>
              <a:ea typeface="Tahoma" panose="020B0604030504040204" pitchFamily="34" charset="0"/>
              <a:cs typeface="Athiti" panose="00000500000000000000" pitchFamily="2" charset="-34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Revenue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0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  <c:pt idx="6">
                <c:v>2025</c:v>
              </c:pt>
              <c:pt idx="7">
                <c:v>2026</c:v>
              </c:pt>
              <c:pt idx="8">
                <c:v>2027</c:v>
              </c:pt>
              <c:pt idx="9">
                <c:v>2028</c:v>
              </c:pt>
            </c:numLit>
          </c:cat>
          <c:val>
            <c:numRef>
              <c:f>'IDE Growth'!$D$23:$M$23</c:f>
              <c:numCache>
                <c:formatCode>_-* #,##0_-;\-* #,##0_-;_-* "-"_-;_-@_-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_);[Red]\(#,##0\)">
                  <c:v>0</c:v>
                </c:pt>
                <c:pt idx="5" formatCode="#,##0_);[Red]\(#,##0\)">
                  <c:v>0</c:v>
                </c:pt>
                <c:pt idx="6" formatCode="#,##0_);[Red]\(#,##0\)">
                  <c:v>0</c:v>
                </c:pt>
                <c:pt idx="7" formatCode="#,##0_);[Red]\(#,##0\)">
                  <c:v>0</c:v>
                </c:pt>
                <c:pt idx="8" formatCode="#,##0_);[Red]\(#,##0\)">
                  <c:v>0</c:v>
                </c:pt>
                <c:pt idx="9" formatCode="#,##0_);[Red]\(#,##0\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A-4B63-B87B-991A7F9E580F}"/>
            </c:ext>
          </c:extLst>
        </c:ser>
        <c:ser>
          <c:idx val="1"/>
          <c:order val="1"/>
          <c:tx>
            <c:v>Net Profit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0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  <c:pt idx="6">
                <c:v>2025</c:v>
              </c:pt>
              <c:pt idx="7">
                <c:v>2026</c:v>
              </c:pt>
              <c:pt idx="8">
                <c:v>2027</c:v>
              </c:pt>
              <c:pt idx="9">
                <c:v>2028</c:v>
              </c:pt>
            </c:numLit>
          </c:cat>
          <c:val>
            <c:numRef>
              <c:f>'IDE Growth'!$D$31:$M$31</c:f>
              <c:numCache>
                <c:formatCode>_-* #,##0_-;\-* #,##0_-;_-* "-"_-;_-@_-</c:formatCode>
                <c:ptCount val="10"/>
                <c:pt idx="0">
                  <c:v>482115.42000000307</c:v>
                </c:pt>
                <c:pt idx="1">
                  <c:v>-2904959.2199999997</c:v>
                </c:pt>
                <c:pt idx="2">
                  <c:v>4420999.2500000028</c:v>
                </c:pt>
                <c:pt idx="3">
                  <c:v>4984946.55</c:v>
                </c:pt>
                <c:pt idx="4" formatCode="_-* #,##0.00_-;\-* #,##0.00_-;_-* &quot;-&quot;??_-;_-@_-">
                  <c:v>0</c:v>
                </c:pt>
                <c:pt idx="5" formatCode="_-* #,##0.00_-;\-* #,##0.00_-;_-* &quot;-&quot;??_-;_-@_-">
                  <c:v>0</c:v>
                </c:pt>
                <c:pt idx="6" formatCode="_-* #,##0.00_-;\-* #,##0.00_-;_-* &quot;-&quot;??_-;_-@_-">
                  <c:v>0</c:v>
                </c:pt>
                <c:pt idx="7" formatCode="_-* #,##0.00_-;\-* #,##0.00_-;_-* &quot;-&quot;??_-;_-@_-">
                  <c:v>0</c:v>
                </c:pt>
                <c:pt idx="8" formatCode="_-* #,##0.00_-;\-* #,##0.00_-;_-* &quot;-&quot;??_-;_-@_-">
                  <c:v>0</c:v>
                </c:pt>
                <c:pt idx="9" formatCode="_-* #,##0.00_-;\-* #,##0.00_-;_-* &quot;-&quot;??_-;_-@_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7A-4B63-B87B-991A7F9E5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21006848"/>
        <c:axId val="620912848"/>
      </c:barChart>
      <c:catAx>
        <c:axId val="62100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thiti" panose="00000500000000000000" pitchFamily="2" charset="-34"/>
                <a:ea typeface="Tahoma" panose="020B0604030504040204" pitchFamily="34" charset="0"/>
                <a:cs typeface="Athiti" panose="00000500000000000000" pitchFamily="2" charset="-34"/>
              </a:defRPr>
            </a:pPr>
            <a:endParaRPr lang="en-US"/>
          </a:p>
        </c:txPr>
        <c:crossAx val="620912848"/>
        <c:crosses val="autoZero"/>
        <c:auto val="1"/>
        <c:lblAlgn val="ctr"/>
        <c:lblOffset val="100"/>
        <c:noMultiLvlLbl val="0"/>
      </c:catAx>
      <c:valAx>
        <c:axId val="620912848"/>
        <c:scaling>
          <c:orientation val="minMax"/>
        </c:scaling>
        <c:delete val="0"/>
        <c:axPos val="l"/>
        <c:numFmt formatCode="_-* #,##0_-;\-* #,##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thiti" panose="00000500000000000000" pitchFamily="2" charset="-34"/>
                <a:ea typeface="Tahoma" panose="020B0604030504040204" pitchFamily="34" charset="0"/>
                <a:cs typeface="Athiti" panose="00000500000000000000" pitchFamily="2" charset="-34"/>
              </a:defRPr>
            </a:pPr>
            <a:endParaRPr lang="en-US"/>
          </a:p>
        </c:txPr>
        <c:crossAx val="621006848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thiti" panose="00000500000000000000" pitchFamily="2" charset="-34"/>
                    <a:ea typeface="Tahoma" panose="020B0604030504040204" pitchFamily="34" charset="0"/>
                    <a:cs typeface="Athiti" panose="00000500000000000000" pitchFamily="2" charset="-34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thiti" panose="00000500000000000000" pitchFamily="2" charset="-34"/>
              <a:ea typeface="Tahoma" panose="020B0604030504040204" pitchFamily="34" charset="0"/>
              <a:cs typeface="Athiti" panose="00000500000000000000" pitchFamily="2" charset="-34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Athiti" panose="00000500000000000000" pitchFamily="2" charset="-34"/>
          <a:ea typeface="Tahoma" panose="020B0604030504040204" pitchFamily="34" charset="0"/>
          <a:cs typeface="Athiti" panose="00000500000000000000" pitchFamily="2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thiti" panose="00000500000000000000" pitchFamily="2" charset="-34"/>
                <a:ea typeface="Tahoma" panose="020B0604030504040204" pitchFamily="34" charset="0"/>
                <a:cs typeface="Athiti" panose="00000500000000000000" pitchFamily="2" charset="-34"/>
              </a:defRPr>
            </a:pPr>
            <a:r>
              <a:rPr lang="en-US" sz="1800" b="1"/>
              <a:t>Revenue &amp; Net Profit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thiti" panose="00000500000000000000" pitchFamily="2" charset="-34"/>
              <a:ea typeface="Tahoma" panose="020B0604030504040204" pitchFamily="34" charset="0"/>
              <a:cs typeface="Athiti" panose="00000500000000000000" pitchFamily="2" charset="-34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Revenue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3"/>
              <c:pt idx="0">
                <c:v>2020</c:v>
              </c:pt>
              <c:pt idx="1">
                <c:v>2021</c:v>
              </c:pt>
              <c:pt idx="2">
                <c:v>2022</c:v>
              </c:pt>
            </c:numLit>
          </c:cat>
          <c:val>
            <c:numRef>
              <c:f>'IDE Growth'!$E$4:$G$4</c:f>
              <c:numCache>
                <c:formatCode>_-* #,##0_-;\-* #,##0_-;_-* "-"_-;_-@_-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67-44D1-B3A9-24439287D7BE}"/>
            </c:ext>
          </c:extLst>
        </c:ser>
        <c:ser>
          <c:idx val="1"/>
          <c:order val="1"/>
          <c:tx>
            <c:v>Net Profit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3"/>
              <c:pt idx="0">
                <c:v>2020</c:v>
              </c:pt>
              <c:pt idx="1">
                <c:v>2021</c:v>
              </c:pt>
              <c:pt idx="2">
                <c:v>2022</c:v>
              </c:pt>
            </c:numLit>
          </c:cat>
          <c:val>
            <c:numRef>
              <c:f>'IDE Growth'!$E$31:$G$31</c:f>
              <c:numCache>
                <c:formatCode>_-* #,##0_-;\-* #,##0_-;_-* "-"_-;_-@_-</c:formatCode>
                <c:ptCount val="3"/>
                <c:pt idx="0">
                  <c:v>-2904959.2199999997</c:v>
                </c:pt>
                <c:pt idx="1">
                  <c:v>4420999.2500000028</c:v>
                </c:pt>
                <c:pt idx="2">
                  <c:v>4984946.55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67-44D1-B3A9-24439287D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21006848"/>
        <c:axId val="620912848"/>
      </c:barChart>
      <c:catAx>
        <c:axId val="62100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thiti" panose="00000500000000000000" pitchFamily="2" charset="-34"/>
                <a:ea typeface="Tahoma" panose="020B0604030504040204" pitchFamily="34" charset="0"/>
                <a:cs typeface="Athiti" panose="00000500000000000000" pitchFamily="2" charset="-34"/>
              </a:defRPr>
            </a:pPr>
            <a:endParaRPr lang="en-US"/>
          </a:p>
        </c:txPr>
        <c:crossAx val="620912848"/>
        <c:crosses val="autoZero"/>
        <c:auto val="1"/>
        <c:lblAlgn val="ctr"/>
        <c:lblOffset val="100"/>
        <c:noMultiLvlLbl val="0"/>
      </c:catAx>
      <c:valAx>
        <c:axId val="620912848"/>
        <c:scaling>
          <c:orientation val="minMax"/>
        </c:scaling>
        <c:delete val="0"/>
        <c:axPos val="l"/>
        <c:numFmt formatCode="_-* #,##0_-;\-* #,##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thiti" panose="00000500000000000000" pitchFamily="2" charset="-34"/>
                <a:ea typeface="Tahoma" panose="020B0604030504040204" pitchFamily="34" charset="0"/>
                <a:cs typeface="Athiti" panose="00000500000000000000" pitchFamily="2" charset="-34"/>
              </a:defRPr>
            </a:pPr>
            <a:endParaRPr lang="en-US"/>
          </a:p>
        </c:txPr>
        <c:crossAx val="621006848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thiti" panose="00000500000000000000" pitchFamily="2" charset="-34"/>
                    <a:ea typeface="Tahoma" panose="020B0604030504040204" pitchFamily="34" charset="0"/>
                    <a:cs typeface="Athiti" panose="00000500000000000000" pitchFamily="2" charset="-34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thiti" panose="00000500000000000000" pitchFamily="2" charset="-34"/>
              <a:ea typeface="Tahoma" panose="020B0604030504040204" pitchFamily="34" charset="0"/>
              <a:cs typeface="Athiti" panose="00000500000000000000" pitchFamily="2" charset="-34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Athiti" panose="00000500000000000000" pitchFamily="2" charset="-34"/>
          <a:ea typeface="Tahoma" panose="020B0604030504040204" pitchFamily="34" charset="0"/>
          <a:cs typeface="Athiti" panose="00000500000000000000" pitchFamily="2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383241</xdr:colOff>
      <xdr:row>1</xdr:row>
      <xdr:rowOff>68480</xdr:rowOff>
    </xdr:from>
    <xdr:to>
      <xdr:col>21</xdr:col>
      <xdr:colOff>71181</xdr:colOff>
      <xdr:row>20</xdr:row>
      <xdr:rowOff>122882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C1F9E5B-89A8-47A1-B700-0B8D6BC5EB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351979</xdr:colOff>
      <xdr:row>21</xdr:row>
      <xdr:rowOff>154100</xdr:rowOff>
    </xdr:from>
    <xdr:to>
      <xdr:col>21</xdr:col>
      <xdr:colOff>39919</xdr:colOff>
      <xdr:row>41</xdr:row>
      <xdr:rowOff>167126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8671B43-1EC5-41D1-9CB9-9F13CF78D6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205441</xdr:colOff>
      <xdr:row>43</xdr:row>
      <xdr:rowOff>67518</xdr:rowOff>
    </xdr:from>
    <xdr:to>
      <xdr:col>20</xdr:col>
      <xdr:colOff>503479</xdr:colOff>
      <xdr:row>63</xdr:row>
      <xdr:rowOff>92995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87468DD-B380-4163-9350-294E47BCE1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1C800-B3E8-4BF4-88A6-4B1E03D05025}">
  <dimension ref="B1:N58"/>
  <sheetViews>
    <sheetView showGridLines="0" zoomScaleNormal="100" workbookViewId="0">
      <pane xSplit="4" ySplit="3" topLeftCell="E55" activePane="bottomRight" state="frozen"/>
      <selection pane="topRight" activeCell="D1" sqref="D1"/>
      <selection pane="bottomLeft" activeCell="A3" sqref="A3"/>
      <selection pane="bottomRight" activeCell="E48" sqref="E48"/>
    </sheetView>
  </sheetViews>
  <sheetFormatPr defaultColWidth="8.90625" defaultRowHeight="21.5"/>
  <cols>
    <col min="1" max="3" width="3.453125" style="37" customWidth="1"/>
    <col min="4" max="4" width="26.90625" style="37" customWidth="1"/>
    <col min="5" max="10" width="12.7265625" style="37" customWidth="1"/>
    <col min="11" max="11" width="17.26953125" style="37" customWidth="1"/>
    <col min="12" max="14" width="10.6328125" style="37" customWidth="1"/>
    <col min="15" max="16384" width="8.90625" style="37"/>
  </cols>
  <sheetData>
    <row r="1" spans="2:14" s="43" customFormat="1" ht="20.5">
      <c r="B1" s="43" t="s">
        <v>0</v>
      </c>
    </row>
    <row r="2" spans="2:14" s="43" customFormat="1" ht="20.5">
      <c r="B2" s="85"/>
      <c r="C2" s="86"/>
      <c r="D2" s="86"/>
      <c r="E2" s="119" t="s">
        <v>1</v>
      </c>
      <c r="F2" s="120" t="s">
        <v>2</v>
      </c>
      <c r="G2" s="119" t="s">
        <v>3</v>
      </c>
      <c r="H2" s="120" t="s">
        <v>4</v>
      </c>
      <c r="I2" s="119" t="s">
        <v>5</v>
      </c>
      <c r="J2" s="120" t="s">
        <v>6</v>
      </c>
    </row>
    <row r="3" spans="2:14" s="43" customFormat="1" ht="20.5">
      <c r="B3" s="87"/>
      <c r="C3" s="88"/>
      <c r="D3" s="88"/>
      <c r="E3" s="121">
        <v>2024</v>
      </c>
      <c r="F3" s="122">
        <f>E3+1</f>
        <v>2025</v>
      </c>
      <c r="G3" s="121">
        <f>F3+1</f>
        <v>2026</v>
      </c>
      <c r="H3" s="122">
        <f>G3+1</f>
        <v>2027</v>
      </c>
      <c r="I3" s="121">
        <f>H3+1</f>
        <v>2028</v>
      </c>
      <c r="J3" s="122">
        <f>I3+1</f>
        <v>2029</v>
      </c>
    </row>
    <row r="4" spans="2:14" s="43" customFormat="1" ht="20.5">
      <c r="B4" s="43" t="s">
        <v>7</v>
      </c>
      <c r="E4" s="84"/>
      <c r="F4" s="84"/>
      <c r="G4" s="84"/>
      <c r="H4" s="84"/>
      <c r="I4" s="84"/>
      <c r="J4" s="84"/>
    </row>
    <row r="5" spans="2:14">
      <c r="B5" s="38">
        <v>1</v>
      </c>
      <c r="C5" s="37" t="s">
        <v>8</v>
      </c>
      <c r="E5" s="39">
        <v>500000</v>
      </c>
      <c r="F5" s="47"/>
      <c r="G5" s="40"/>
      <c r="H5" s="40"/>
      <c r="I5" s="40"/>
      <c r="J5" s="40"/>
    </row>
    <row r="6" spans="2:14">
      <c r="B6" s="38">
        <f>B5+1</f>
        <v>2</v>
      </c>
      <c r="C6" s="37" t="s">
        <v>9</v>
      </c>
      <c r="E6" s="39">
        <v>1000000</v>
      </c>
      <c r="F6" s="41"/>
      <c r="G6" s="41"/>
      <c r="H6" s="41"/>
      <c r="I6" s="41"/>
      <c r="J6" s="41"/>
      <c r="K6" s="42" t="s">
        <v>10</v>
      </c>
      <c r="L6" s="42"/>
      <c r="M6" s="42"/>
      <c r="N6" s="42"/>
    </row>
    <row r="7" spans="2:14">
      <c r="B7" s="38">
        <f t="shared" ref="B7:B11" si="0">B6+1</f>
        <v>3</v>
      </c>
      <c r="C7" s="37" t="s">
        <v>11</v>
      </c>
      <c r="E7" s="39">
        <v>1000000</v>
      </c>
      <c r="F7" s="41"/>
      <c r="G7" s="41"/>
      <c r="H7" s="41"/>
      <c r="I7" s="41"/>
      <c r="J7" s="41"/>
      <c r="K7" s="42"/>
      <c r="L7" s="42"/>
      <c r="M7" s="42"/>
      <c r="N7" s="42"/>
    </row>
    <row r="8" spans="2:14">
      <c r="B8" s="38">
        <f t="shared" si="0"/>
        <v>4</v>
      </c>
      <c r="C8" s="37" t="s">
        <v>12</v>
      </c>
      <c r="E8" s="39"/>
      <c r="F8" s="41"/>
      <c r="G8" s="41"/>
      <c r="H8" s="41"/>
      <c r="I8" s="41"/>
      <c r="J8" s="41"/>
      <c r="K8" s="42"/>
      <c r="L8" s="42"/>
      <c r="M8" s="42"/>
      <c r="N8" s="42"/>
    </row>
    <row r="9" spans="2:14">
      <c r="B9" s="38">
        <f t="shared" si="0"/>
        <v>5</v>
      </c>
      <c r="C9" s="37" t="s">
        <v>12</v>
      </c>
      <c r="E9" s="39"/>
      <c r="F9" s="41"/>
      <c r="G9" s="41"/>
      <c r="H9" s="41"/>
      <c r="I9" s="41"/>
      <c r="J9" s="41"/>
      <c r="K9" s="42"/>
      <c r="L9" s="42"/>
      <c r="M9" s="42"/>
      <c r="N9" s="42"/>
    </row>
    <row r="10" spans="2:14">
      <c r="B10" s="38">
        <f t="shared" si="0"/>
        <v>6</v>
      </c>
      <c r="C10" s="37" t="s">
        <v>12</v>
      </c>
      <c r="E10" s="39"/>
      <c r="F10" s="41"/>
      <c r="G10" s="41"/>
      <c r="H10" s="41"/>
      <c r="I10" s="41"/>
      <c r="J10" s="41"/>
    </row>
    <row r="11" spans="2:14">
      <c r="B11" s="38">
        <f t="shared" si="0"/>
        <v>7</v>
      </c>
      <c r="C11" s="37" t="s">
        <v>12</v>
      </c>
      <c r="E11" s="39"/>
      <c r="F11" s="41"/>
      <c r="G11" s="41"/>
      <c r="H11" s="41"/>
      <c r="I11" s="41"/>
      <c r="J11" s="41"/>
    </row>
    <row r="12" spans="2:14" s="43" customFormat="1" ht="20.5">
      <c r="C12" s="43" t="s">
        <v>13</v>
      </c>
      <c r="E12" s="44">
        <f t="shared" ref="E12:J12" si="1">SUM(E5:E11)</f>
        <v>2500000</v>
      </c>
      <c r="F12" s="44">
        <f t="shared" si="1"/>
        <v>0</v>
      </c>
      <c r="G12" s="44">
        <f t="shared" si="1"/>
        <v>0</v>
      </c>
      <c r="H12" s="44">
        <f t="shared" si="1"/>
        <v>0</v>
      </c>
      <c r="I12" s="44">
        <f t="shared" si="1"/>
        <v>0</v>
      </c>
      <c r="J12" s="44">
        <f t="shared" si="1"/>
        <v>0</v>
      </c>
    </row>
    <row r="13" spans="2:14" s="43" customFormat="1">
      <c r="B13" s="43" t="s">
        <v>14</v>
      </c>
      <c r="E13" s="45"/>
      <c r="F13" s="42"/>
      <c r="G13" s="42"/>
      <c r="H13" s="42"/>
      <c r="I13" s="42"/>
      <c r="J13" s="42"/>
    </row>
    <row r="14" spans="2:14" s="43" customFormat="1">
      <c r="B14" s="43">
        <v>1</v>
      </c>
      <c r="C14" s="43" t="s">
        <v>15</v>
      </c>
      <c r="E14" s="45"/>
      <c r="F14" s="42"/>
      <c r="G14" s="42"/>
      <c r="H14" s="42"/>
      <c r="I14" s="42"/>
      <c r="J14" s="42"/>
    </row>
    <row r="15" spans="2:14">
      <c r="C15" s="37" t="s">
        <v>16</v>
      </c>
      <c r="F15" s="47">
        <v>4000000</v>
      </c>
      <c r="G15" s="47">
        <f>F15*1.15</f>
        <v>4600000</v>
      </c>
      <c r="H15" s="47">
        <f t="shared" ref="H15:J15" si="2">G15*1.15</f>
        <v>5290000</v>
      </c>
      <c r="I15" s="47">
        <f t="shared" si="2"/>
        <v>6083499.9999999991</v>
      </c>
      <c r="J15" s="47">
        <f t="shared" si="2"/>
        <v>6996024.9999999981</v>
      </c>
    </row>
    <row r="16" spans="2:14">
      <c r="C16" s="37" t="s">
        <v>17</v>
      </c>
      <c r="G16" s="48">
        <f>(G15-F15)/F15</f>
        <v>0.15</v>
      </c>
      <c r="H16" s="48">
        <f>(H15-G15)/G15</f>
        <v>0.15</v>
      </c>
      <c r="I16" s="48">
        <f>(I15-H15)/H15</f>
        <v>0.14999999999999983</v>
      </c>
      <c r="J16" s="48">
        <f>(J15-I15)/I15</f>
        <v>0.14999999999999988</v>
      </c>
    </row>
    <row r="17" spans="2:10">
      <c r="C17" s="37" t="s">
        <v>18</v>
      </c>
      <c r="F17" s="49">
        <v>13</v>
      </c>
      <c r="G17" s="49">
        <f>F17</f>
        <v>13</v>
      </c>
      <c r="H17" s="49">
        <f t="shared" ref="H17:J17" si="3">G17</f>
        <v>13</v>
      </c>
      <c r="I17" s="49">
        <f t="shared" si="3"/>
        <v>13</v>
      </c>
      <c r="J17" s="49">
        <f t="shared" si="3"/>
        <v>13</v>
      </c>
    </row>
    <row r="18" spans="2:10">
      <c r="C18" s="37" t="s">
        <v>19</v>
      </c>
      <c r="F18" s="116">
        <f>F15*F17</f>
        <v>52000000</v>
      </c>
      <c r="G18" s="116">
        <f t="shared" ref="G18:J18" si="4">G15*G17</f>
        <v>59800000</v>
      </c>
      <c r="H18" s="116">
        <f t="shared" si="4"/>
        <v>68770000</v>
      </c>
      <c r="I18" s="116">
        <f t="shared" si="4"/>
        <v>79085499.999999985</v>
      </c>
      <c r="J18" s="116">
        <f t="shared" si="4"/>
        <v>90948324.99999997</v>
      </c>
    </row>
    <row r="19" spans="2:10" s="43" customFormat="1">
      <c r="B19" s="43">
        <v>2</v>
      </c>
      <c r="C19" s="43" t="s">
        <v>20</v>
      </c>
      <c r="E19" s="45"/>
      <c r="F19" s="42"/>
      <c r="G19" s="42"/>
      <c r="H19" s="42"/>
      <c r="I19" s="42"/>
      <c r="J19" s="42"/>
    </row>
    <row r="20" spans="2:10">
      <c r="C20" s="37" t="s">
        <v>16</v>
      </c>
      <c r="F20" s="47">
        <v>50000</v>
      </c>
      <c r="G20" s="47">
        <f>F20*2</f>
        <v>100000</v>
      </c>
      <c r="H20" s="47">
        <f t="shared" ref="H20:J20" si="5">G20*2</f>
        <v>200000</v>
      </c>
      <c r="I20" s="47">
        <f t="shared" si="5"/>
        <v>400000</v>
      </c>
      <c r="J20" s="47">
        <f t="shared" si="5"/>
        <v>800000</v>
      </c>
    </row>
    <row r="21" spans="2:10">
      <c r="C21" s="37" t="s">
        <v>17</v>
      </c>
      <c r="G21" s="48">
        <f>(G20-F20)/F20</f>
        <v>1</v>
      </c>
      <c r="H21" s="48">
        <f>(H20-G20)/G20</f>
        <v>1</v>
      </c>
      <c r="I21" s="48">
        <f>(I20-H20)/H20</f>
        <v>1</v>
      </c>
      <c r="J21" s="48">
        <f>(J20-I20)/I20</f>
        <v>1</v>
      </c>
    </row>
    <row r="22" spans="2:10">
      <c r="C22" s="37" t="s">
        <v>18</v>
      </c>
      <c r="F22" s="49">
        <v>0</v>
      </c>
      <c r="G22" s="49">
        <f>F22</f>
        <v>0</v>
      </c>
      <c r="H22" s="49">
        <f t="shared" ref="H22:J22" si="6">G22</f>
        <v>0</v>
      </c>
      <c r="I22" s="49">
        <f t="shared" si="6"/>
        <v>0</v>
      </c>
      <c r="J22" s="49">
        <f t="shared" si="6"/>
        <v>0</v>
      </c>
    </row>
    <row r="23" spans="2:10">
      <c r="C23" s="37" t="s">
        <v>21</v>
      </c>
      <c r="F23" s="116">
        <f>F20*F22</f>
        <v>0</v>
      </c>
      <c r="G23" s="116">
        <f t="shared" ref="G23" si="7">G20*G22</f>
        <v>0</v>
      </c>
      <c r="H23" s="116">
        <f t="shared" ref="H23" si="8">H20*H22</f>
        <v>0</v>
      </c>
      <c r="I23" s="116">
        <f t="shared" ref="I23" si="9">I20*I22</f>
        <v>0</v>
      </c>
      <c r="J23" s="116">
        <f t="shared" ref="J23" si="10">J20*J22</f>
        <v>0</v>
      </c>
    </row>
    <row r="24" spans="2:10" s="43" customFormat="1">
      <c r="B24" s="43">
        <v>3</v>
      </c>
      <c r="C24" s="43" t="s">
        <v>22</v>
      </c>
      <c r="E24" s="45"/>
      <c r="F24" s="42"/>
      <c r="G24" s="42"/>
      <c r="H24" s="42"/>
      <c r="I24" s="42"/>
      <c r="J24" s="42"/>
    </row>
    <row r="25" spans="2:10">
      <c r="C25" s="37" t="s">
        <v>16</v>
      </c>
      <c r="F25" s="47">
        <v>50000</v>
      </c>
      <c r="G25" s="47">
        <f>F25*2</f>
        <v>100000</v>
      </c>
      <c r="H25" s="47">
        <f t="shared" ref="H25:J25" si="11">G25*2</f>
        <v>200000</v>
      </c>
      <c r="I25" s="47">
        <f t="shared" si="11"/>
        <v>400000</v>
      </c>
      <c r="J25" s="47">
        <f t="shared" si="11"/>
        <v>800000</v>
      </c>
    </row>
    <row r="26" spans="2:10">
      <c r="C26" s="37" t="s">
        <v>17</v>
      </c>
      <c r="G26" s="48">
        <f>(G25-F25)/F25</f>
        <v>1</v>
      </c>
      <c r="H26" s="48">
        <f>(H25-G25)/G25</f>
        <v>1</v>
      </c>
      <c r="I26" s="48">
        <f>(I25-H25)/H25</f>
        <v>1</v>
      </c>
      <c r="J26" s="48">
        <f>(J25-I25)/I25</f>
        <v>1</v>
      </c>
    </row>
    <row r="27" spans="2:10">
      <c r="C27" s="37" t="s">
        <v>18</v>
      </c>
      <c r="F27" s="49">
        <v>90</v>
      </c>
      <c r="G27" s="49">
        <f>F27</f>
        <v>90</v>
      </c>
      <c r="H27" s="49">
        <f t="shared" ref="H27:J27" si="12">G27</f>
        <v>90</v>
      </c>
      <c r="I27" s="49">
        <f t="shared" si="12"/>
        <v>90</v>
      </c>
      <c r="J27" s="49">
        <f t="shared" si="12"/>
        <v>90</v>
      </c>
    </row>
    <row r="28" spans="2:10">
      <c r="C28" s="37" t="s">
        <v>23</v>
      </c>
      <c r="F28" s="116">
        <f>F25*F27</f>
        <v>4500000</v>
      </c>
      <c r="G28" s="116">
        <f t="shared" ref="G28" si="13">G25*G27</f>
        <v>9000000</v>
      </c>
      <c r="H28" s="116">
        <f t="shared" ref="H28" si="14">H25*H27</f>
        <v>18000000</v>
      </c>
      <c r="I28" s="116">
        <f t="shared" ref="I28" si="15">I25*I27</f>
        <v>36000000</v>
      </c>
      <c r="J28" s="116">
        <f t="shared" ref="J28" si="16">J25*J27</f>
        <v>72000000</v>
      </c>
    </row>
    <row r="29" spans="2:10" s="43" customFormat="1" ht="20.5">
      <c r="C29" s="43" t="s">
        <v>24</v>
      </c>
      <c r="F29" s="50">
        <f>F18+F23+F28</f>
        <v>56500000</v>
      </c>
      <c r="G29" s="50">
        <f t="shared" ref="G29:J29" si="17">G18+G23+G28</f>
        <v>68800000</v>
      </c>
      <c r="H29" s="50">
        <f t="shared" si="17"/>
        <v>86770000</v>
      </c>
      <c r="I29" s="50">
        <f t="shared" si="17"/>
        <v>115085499.99999999</v>
      </c>
      <c r="J29" s="50">
        <f t="shared" si="17"/>
        <v>162948324.99999997</v>
      </c>
    </row>
    <row r="30" spans="2:10" s="43" customFormat="1">
      <c r="B30" s="43" t="s">
        <v>25</v>
      </c>
      <c r="E30" s="45"/>
      <c r="F30" s="42"/>
      <c r="G30" s="42"/>
      <c r="H30" s="42"/>
      <c r="I30" s="42"/>
      <c r="J30" s="42"/>
    </row>
    <row r="31" spans="2:10" s="43" customFormat="1">
      <c r="B31" s="43">
        <v>1</v>
      </c>
      <c r="C31" s="43" t="s">
        <v>15</v>
      </c>
      <c r="E31" s="45"/>
      <c r="F31" s="42"/>
      <c r="G31" s="42"/>
      <c r="H31" s="42"/>
      <c r="I31" s="42"/>
      <c r="J31" s="42"/>
    </row>
    <row r="32" spans="2:10">
      <c r="B32" s="38"/>
      <c r="C32" s="37" t="s">
        <v>26</v>
      </c>
      <c r="F32" s="60">
        <v>0.5</v>
      </c>
      <c r="G32" s="60">
        <f>F32</f>
        <v>0.5</v>
      </c>
      <c r="H32" s="60">
        <f t="shared" ref="H32:J32" si="18">G32</f>
        <v>0.5</v>
      </c>
      <c r="I32" s="60">
        <f t="shared" si="18"/>
        <v>0.5</v>
      </c>
      <c r="J32" s="60">
        <f t="shared" si="18"/>
        <v>0.5</v>
      </c>
    </row>
    <row r="33" spans="2:10">
      <c r="B33" s="38"/>
      <c r="C33" s="37" t="s">
        <v>27</v>
      </c>
      <c r="F33" s="117">
        <f>F32*F18</f>
        <v>26000000</v>
      </c>
      <c r="G33" s="117">
        <f t="shared" ref="G33:J33" si="19">G32*G18</f>
        <v>29900000</v>
      </c>
      <c r="H33" s="117">
        <f t="shared" si="19"/>
        <v>34385000</v>
      </c>
      <c r="I33" s="117">
        <f t="shared" si="19"/>
        <v>39542749.999999993</v>
      </c>
      <c r="J33" s="117">
        <f t="shared" si="19"/>
        <v>45474162.499999985</v>
      </c>
    </row>
    <row r="34" spans="2:10">
      <c r="B34" s="38"/>
      <c r="C34" s="37" t="s">
        <v>28</v>
      </c>
      <c r="F34" s="61">
        <f>F18-F33</f>
        <v>26000000</v>
      </c>
      <c r="G34" s="61">
        <f t="shared" ref="G34:J34" si="20">G18-G33</f>
        <v>29900000</v>
      </c>
      <c r="H34" s="61">
        <f t="shared" si="20"/>
        <v>34385000</v>
      </c>
      <c r="I34" s="61">
        <f t="shared" si="20"/>
        <v>39542749.999999993</v>
      </c>
      <c r="J34" s="61">
        <f t="shared" si="20"/>
        <v>45474162.499999985</v>
      </c>
    </row>
    <row r="35" spans="2:10" s="43" customFormat="1">
      <c r="B35" s="43">
        <v>2</v>
      </c>
      <c r="C35" s="43" t="s">
        <v>29</v>
      </c>
      <c r="E35" s="45"/>
      <c r="F35" s="42"/>
      <c r="G35" s="42"/>
      <c r="H35" s="42"/>
      <c r="I35" s="42"/>
      <c r="J35" s="42"/>
    </row>
    <row r="36" spans="2:10">
      <c r="B36" s="38"/>
      <c r="C36" s="37" t="s">
        <v>26</v>
      </c>
      <c r="F36" s="60">
        <v>0.45</v>
      </c>
      <c r="G36" s="60">
        <f>F36</f>
        <v>0.45</v>
      </c>
      <c r="H36" s="60">
        <f t="shared" ref="H36:J36" si="21">G36</f>
        <v>0.45</v>
      </c>
      <c r="I36" s="60">
        <f t="shared" si="21"/>
        <v>0.45</v>
      </c>
      <c r="J36" s="60">
        <f t="shared" si="21"/>
        <v>0.45</v>
      </c>
    </row>
    <row r="37" spans="2:10">
      <c r="B37" s="38"/>
      <c r="C37" s="37" t="s">
        <v>27</v>
      </c>
      <c r="F37" s="117">
        <f>F36*F23</f>
        <v>0</v>
      </c>
      <c r="G37" s="117">
        <f t="shared" ref="G37:J37" si="22">G36*G23</f>
        <v>0</v>
      </c>
      <c r="H37" s="117">
        <f t="shared" si="22"/>
        <v>0</v>
      </c>
      <c r="I37" s="117">
        <f t="shared" si="22"/>
        <v>0</v>
      </c>
      <c r="J37" s="117">
        <f t="shared" si="22"/>
        <v>0</v>
      </c>
    </row>
    <row r="38" spans="2:10">
      <c r="B38" s="38"/>
      <c r="C38" s="37" t="s">
        <v>28</v>
      </c>
      <c r="F38" s="61">
        <f>F23-F37</f>
        <v>0</v>
      </c>
      <c r="G38" s="61">
        <f t="shared" ref="G38:J38" si="23">G23-G37</f>
        <v>0</v>
      </c>
      <c r="H38" s="61">
        <f t="shared" si="23"/>
        <v>0</v>
      </c>
      <c r="I38" s="61">
        <f t="shared" si="23"/>
        <v>0</v>
      </c>
      <c r="J38" s="61">
        <f t="shared" si="23"/>
        <v>0</v>
      </c>
    </row>
    <row r="39" spans="2:10" s="43" customFormat="1">
      <c r="B39" s="43">
        <v>3</v>
      </c>
      <c r="C39" s="43" t="s">
        <v>22</v>
      </c>
      <c r="E39" s="45"/>
      <c r="F39" s="42"/>
      <c r="G39" s="42"/>
      <c r="H39" s="42"/>
      <c r="I39" s="42"/>
      <c r="J39" s="42"/>
    </row>
    <row r="40" spans="2:10">
      <c r="B40" s="38"/>
      <c r="C40" s="37" t="s">
        <v>26</v>
      </c>
      <c r="F40" s="60">
        <v>0.45</v>
      </c>
      <c r="G40" s="60">
        <f>F40</f>
        <v>0.45</v>
      </c>
      <c r="H40" s="60">
        <f t="shared" ref="H40:J40" si="24">G40</f>
        <v>0.45</v>
      </c>
      <c r="I40" s="60">
        <f t="shared" si="24"/>
        <v>0.45</v>
      </c>
      <c r="J40" s="60">
        <f t="shared" si="24"/>
        <v>0.45</v>
      </c>
    </row>
    <row r="41" spans="2:10">
      <c r="B41" s="38"/>
      <c r="C41" s="37" t="s">
        <v>27</v>
      </c>
      <c r="F41" s="117">
        <f>F40*F28</f>
        <v>2025000</v>
      </c>
      <c r="G41" s="117">
        <f t="shared" ref="G41:J41" si="25">G40*G28</f>
        <v>4050000</v>
      </c>
      <c r="H41" s="117">
        <f t="shared" si="25"/>
        <v>8100000</v>
      </c>
      <c r="I41" s="117">
        <f t="shared" si="25"/>
        <v>16200000</v>
      </c>
      <c r="J41" s="117">
        <f t="shared" si="25"/>
        <v>32400000</v>
      </c>
    </row>
    <row r="42" spans="2:10">
      <c r="B42" s="38"/>
      <c r="C42" s="37" t="s">
        <v>28</v>
      </c>
      <c r="F42" s="61">
        <f>F28-F41</f>
        <v>2475000</v>
      </c>
      <c r="G42" s="61">
        <f t="shared" ref="G42:J42" si="26">G28-G41</f>
        <v>4950000</v>
      </c>
      <c r="H42" s="61">
        <f t="shared" si="26"/>
        <v>9900000</v>
      </c>
      <c r="I42" s="61">
        <f t="shared" si="26"/>
        <v>19800000</v>
      </c>
      <c r="J42" s="61">
        <f t="shared" si="26"/>
        <v>39600000</v>
      </c>
    </row>
    <row r="43" spans="2:10">
      <c r="B43" s="38"/>
      <c r="C43" s="43" t="s">
        <v>30</v>
      </c>
      <c r="F43" s="118">
        <f>F42+F38+F34</f>
        <v>28475000</v>
      </c>
      <c r="G43" s="118">
        <f t="shared" ref="G43:J43" si="27">G42+G38+G34</f>
        <v>34850000</v>
      </c>
      <c r="H43" s="118">
        <f t="shared" si="27"/>
        <v>44285000</v>
      </c>
      <c r="I43" s="118">
        <f t="shared" si="27"/>
        <v>59342749.999999993</v>
      </c>
      <c r="J43" s="118">
        <f t="shared" si="27"/>
        <v>85074162.499999985</v>
      </c>
    </row>
    <row r="44" spans="2:10">
      <c r="B44" s="38"/>
      <c r="C44" s="43" t="s">
        <v>27</v>
      </c>
      <c r="F44" s="118">
        <f>F33+F37+F41</f>
        <v>28025000</v>
      </c>
      <c r="G44" s="118">
        <f t="shared" ref="G44:J44" si="28">G33+G37+G41</f>
        <v>33950000</v>
      </c>
      <c r="H44" s="118">
        <f t="shared" si="28"/>
        <v>42485000</v>
      </c>
      <c r="I44" s="118">
        <f t="shared" si="28"/>
        <v>55742749.999999993</v>
      </c>
      <c r="J44" s="118">
        <f t="shared" si="28"/>
        <v>77874162.499999985</v>
      </c>
    </row>
    <row r="45" spans="2:10" s="43" customFormat="1" ht="20.5">
      <c r="B45" s="43" t="s">
        <v>31</v>
      </c>
    </row>
    <row r="46" spans="2:10">
      <c r="B46" s="38"/>
      <c r="C46" s="37" t="s">
        <v>32</v>
      </c>
      <c r="F46" s="51">
        <v>1000000</v>
      </c>
      <c r="G46" s="51">
        <f>G29*5%</f>
        <v>3440000</v>
      </c>
      <c r="H46" s="51">
        <f>H29*5%</f>
        <v>4338500</v>
      </c>
      <c r="I46" s="51">
        <f t="shared" ref="I46:J46" si="29">I29*5%</f>
        <v>5754275</v>
      </c>
      <c r="J46" s="51">
        <f t="shared" si="29"/>
        <v>8147416.2499999991</v>
      </c>
    </row>
    <row r="47" spans="2:10">
      <c r="B47" s="38"/>
      <c r="C47" s="37" t="s">
        <v>33</v>
      </c>
      <c r="F47" s="51">
        <f>F29*1%</f>
        <v>565000</v>
      </c>
      <c r="G47" s="51">
        <f t="shared" ref="G47:J47" si="30">G29*1%</f>
        <v>688000</v>
      </c>
      <c r="H47" s="51">
        <f t="shared" si="30"/>
        <v>867700</v>
      </c>
      <c r="I47" s="51">
        <f t="shared" si="30"/>
        <v>1150854.9999999998</v>
      </c>
      <c r="J47" s="51">
        <f t="shared" si="30"/>
        <v>1629483.2499999998</v>
      </c>
    </row>
    <row r="48" spans="2:10">
      <c r="C48" s="37" t="s">
        <v>34</v>
      </c>
      <c r="F48" s="62"/>
      <c r="G48" s="62"/>
      <c r="H48" s="62"/>
      <c r="I48" s="62"/>
      <c r="J48" s="62"/>
    </row>
    <row r="49" spans="2:10">
      <c r="C49" s="37" t="s">
        <v>34</v>
      </c>
      <c r="F49" s="62"/>
      <c r="G49" s="62"/>
      <c r="H49" s="62"/>
      <c r="I49" s="62"/>
      <c r="J49" s="62"/>
    </row>
    <row r="50" spans="2:10">
      <c r="B50" s="38"/>
      <c r="C50" s="37" t="s">
        <v>35</v>
      </c>
      <c r="F50" s="46">
        <f>SUM(F46:F49)</f>
        <v>1565000</v>
      </c>
      <c r="G50" s="46">
        <f>SUM(G46:G49)</f>
        <v>4128000</v>
      </c>
      <c r="H50" s="46">
        <f>SUM(H46:H49)</f>
        <v>5206200</v>
      </c>
      <c r="I50" s="46">
        <f>SUM(I46:I49)</f>
        <v>6905130</v>
      </c>
      <c r="J50" s="46">
        <f>SUM(J46:J49)</f>
        <v>9776899.4999999981</v>
      </c>
    </row>
    <row r="51" spans="2:10" s="43" customFormat="1" ht="20.5">
      <c r="B51" s="43" t="s">
        <v>36</v>
      </c>
    </row>
    <row r="52" spans="2:10">
      <c r="C52" s="37" t="s">
        <v>37</v>
      </c>
      <c r="F52" s="62">
        <f>50000*12</f>
        <v>600000</v>
      </c>
      <c r="G52" s="62">
        <f>F52*1.03</f>
        <v>618000</v>
      </c>
      <c r="H52" s="62">
        <f>G52*1.03</f>
        <v>636540</v>
      </c>
      <c r="I52" s="62">
        <f>H52*1.03</f>
        <v>655636.20000000007</v>
      </c>
      <c r="J52" s="62">
        <f>I52*1.03</f>
        <v>675305.28600000008</v>
      </c>
    </row>
    <row r="53" spans="2:10">
      <c r="C53" s="37" t="s">
        <v>34</v>
      </c>
      <c r="F53" s="62"/>
      <c r="G53" s="62"/>
      <c r="H53" s="62"/>
      <c r="I53" s="62"/>
      <c r="J53" s="62"/>
    </row>
    <row r="54" spans="2:10">
      <c r="C54" s="37" t="s">
        <v>34</v>
      </c>
      <c r="F54" s="62"/>
      <c r="G54" s="62"/>
      <c r="H54" s="62"/>
      <c r="I54" s="62"/>
      <c r="J54" s="62"/>
    </row>
    <row r="55" spans="2:10">
      <c r="C55" s="37" t="s">
        <v>34</v>
      </c>
      <c r="F55" s="62"/>
      <c r="G55" s="62"/>
      <c r="H55" s="62"/>
      <c r="I55" s="62"/>
      <c r="J55" s="62"/>
    </row>
    <row r="56" spans="2:10">
      <c r="C56" s="37" t="s">
        <v>38</v>
      </c>
      <c r="F56" s="46">
        <f>SUM(F52:F55)</f>
        <v>600000</v>
      </c>
      <c r="G56" s="46">
        <f>SUM(G52:G55)</f>
        <v>618000</v>
      </c>
      <c r="H56" s="46">
        <f>SUM(H52:H55)</f>
        <v>636540</v>
      </c>
      <c r="I56" s="46">
        <f>SUM(I52:I55)</f>
        <v>655636.20000000007</v>
      </c>
      <c r="J56" s="46">
        <f>SUM(J52:J55)</f>
        <v>675305.28600000008</v>
      </c>
    </row>
    <row r="57" spans="2:10" s="43" customFormat="1" ht="21" thickBot="1">
      <c r="B57" s="43" t="s">
        <v>39</v>
      </c>
      <c r="F57" s="52">
        <f>F50+F56</f>
        <v>2165000</v>
      </c>
      <c r="G57" s="52">
        <f t="shared" ref="G57:J57" si="31">G50+G56</f>
        <v>4746000</v>
      </c>
      <c r="H57" s="52">
        <f t="shared" si="31"/>
        <v>5842740</v>
      </c>
      <c r="I57" s="52">
        <f t="shared" si="31"/>
        <v>7560766.2000000002</v>
      </c>
      <c r="J57" s="52">
        <f t="shared" si="31"/>
        <v>10452204.785999998</v>
      </c>
    </row>
    <row r="58" spans="2:10" ht="22" thickTop="1">
      <c r="E58" s="53"/>
      <c r="F58" s="53"/>
      <c r="G58" s="53"/>
      <c r="H58" s="53"/>
      <c r="I58" s="53"/>
      <c r="J58" s="53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9A75E-1A01-4ECF-9F0C-2C95D4F22F04}">
  <dimension ref="B1:J21"/>
  <sheetViews>
    <sheetView showGridLines="0" zoomScale="90" zoomScaleNormal="90" workbookViewId="0">
      <pane xSplit="4" ySplit="3" topLeftCell="E4" activePane="bottomRight" state="frozen"/>
      <selection pane="topRight" activeCell="D1" sqref="D1"/>
      <selection pane="bottomLeft" activeCell="A3" sqref="A3"/>
      <selection pane="bottomRight" activeCell="E14" sqref="E14"/>
    </sheetView>
  </sheetViews>
  <sheetFormatPr defaultColWidth="8.90625" defaultRowHeight="21.5"/>
  <cols>
    <col min="1" max="3" width="3.36328125" style="100" customWidth="1"/>
    <col min="4" max="4" width="23.36328125" style="100" customWidth="1"/>
    <col min="5" max="10" width="12.90625" style="100" customWidth="1"/>
    <col min="11" max="11" width="17.26953125" style="100" customWidth="1"/>
    <col min="12" max="14" width="10.6328125" style="100" customWidth="1"/>
    <col min="15" max="16384" width="8.90625" style="100"/>
  </cols>
  <sheetData>
    <row r="1" spans="2:10" s="93" customFormat="1" ht="20.5">
      <c r="B1" s="93" t="s">
        <v>40</v>
      </c>
    </row>
    <row r="2" spans="2:10" s="93" customFormat="1" ht="20.5">
      <c r="B2" s="123"/>
      <c r="C2" s="124"/>
      <c r="D2" s="125"/>
      <c r="E2" s="94" t="s">
        <v>1</v>
      </c>
      <c r="F2" s="95" t="s">
        <v>2</v>
      </c>
      <c r="G2" s="96" t="s">
        <v>3</v>
      </c>
      <c r="H2" s="95" t="s">
        <v>4</v>
      </c>
      <c r="I2" s="96" t="s">
        <v>5</v>
      </c>
      <c r="J2" s="95" t="s">
        <v>6</v>
      </c>
    </row>
    <row r="3" spans="2:10" s="93" customFormat="1" ht="20.5">
      <c r="B3" s="126"/>
      <c r="C3" s="127"/>
      <c r="D3" s="128"/>
      <c r="E3" s="97">
        <v>2024</v>
      </c>
      <c r="F3" s="98">
        <f>E3+1</f>
        <v>2025</v>
      </c>
      <c r="G3" s="99">
        <f t="shared" ref="G3:J3" si="0">F3+1</f>
        <v>2026</v>
      </c>
      <c r="H3" s="98">
        <f t="shared" si="0"/>
        <v>2027</v>
      </c>
      <c r="I3" s="99">
        <f t="shared" si="0"/>
        <v>2028</v>
      </c>
      <c r="J3" s="98">
        <f t="shared" si="0"/>
        <v>2029</v>
      </c>
    </row>
    <row r="4" spans="2:10" hidden="1">
      <c r="J4" s="101">
        <v>20</v>
      </c>
    </row>
    <row r="5" spans="2:10" hidden="1">
      <c r="J5" s="102" t="e">
        <f>#REF!*J4</f>
        <v>#REF!</v>
      </c>
    </row>
    <row r="6" spans="2:10" hidden="1">
      <c r="J6" s="103">
        <v>0.3</v>
      </c>
    </row>
    <row r="7" spans="2:10" hidden="1">
      <c r="E7" s="104">
        <v>-14000000</v>
      </c>
      <c r="F7" s="100">
        <v>0</v>
      </c>
      <c r="G7" s="100">
        <v>0</v>
      </c>
      <c r="H7" s="100">
        <v>0</v>
      </c>
      <c r="I7" s="100">
        <v>0</v>
      </c>
      <c r="J7" s="102" t="e">
        <f>J5*J6</f>
        <v>#REF!</v>
      </c>
    </row>
    <row r="8" spans="2:10" hidden="1">
      <c r="E8" s="105">
        <f>E7</f>
        <v>-14000000</v>
      </c>
      <c r="J8" s="106">
        <f>E8</f>
        <v>-14000000</v>
      </c>
    </row>
    <row r="9" spans="2:10" hidden="1">
      <c r="E9" s="107" t="e">
        <f>IRR(E7:J7,0.001)</f>
        <v>#VALUE!</v>
      </c>
      <c r="J9" s="108" t="e">
        <f>J7+J8</f>
        <v>#REF!</v>
      </c>
    </row>
    <row r="10" spans="2:10" hidden="1">
      <c r="J10" s="109" t="e">
        <f>J9/-E8</f>
        <v>#REF!</v>
      </c>
    </row>
    <row r="11" spans="2:10" s="93" customFormat="1" ht="20.5">
      <c r="B11" s="93" t="s">
        <v>41</v>
      </c>
      <c r="E11" s="110"/>
      <c r="F11" s="110"/>
      <c r="G11" s="110"/>
      <c r="H11" s="110"/>
      <c r="I11" s="110"/>
      <c r="J11" s="110"/>
    </row>
    <row r="12" spans="2:10">
      <c r="C12" s="100" t="s">
        <v>42</v>
      </c>
      <c r="E12" s="106"/>
      <c r="F12" s="106">
        <f>ASSUMPTIONS!F29</f>
        <v>56500000</v>
      </c>
      <c r="G12" s="106">
        <f>ASSUMPTIONS!G29</f>
        <v>68800000</v>
      </c>
      <c r="H12" s="106">
        <f>ASSUMPTIONS!H29</f>
        <v>86770000</v>
      </c>
      <c r="I12" s="106">
        <f>ASSUMPTIONS!I29</f>
        <v>115085499.99999999</v>
      </c>
      <c r="J12" s="106">
        <f>ASSUMPTIONS!J29</f>
        <v>162948324.99999997</v>
      </c>
    </row>
    <row r="13" spans="2:10" s="93" customFormat="1" ht="20.5">
      <c r="B13" s="93" t="s">
        <v>43</v>
      </c>
      <c r="E13" s="110"/>
      <c r="F13" s="110"/>
      <c r="G13" s="110"/>
      <c r="H13" s="110"/>
      <c r="I13" s="110"/>
      <c r="J13" s="110"/>
    </row>
    <row r="14" spans="2:10">
      <c r="C14" s="100" t="s">
        <v>44</v>
      </c>
      <c r="E14" s="106"/>
      <c r="F14" s="106">
        <f>-ASSUMPTIONS!F43</f>
        <v>-28475000</v>
      </c>
      <c r="G14" s="106">
        <f>-ASSUMPTIONS!G43</f>
        <v>-34850000</v>
      </c>
      <c r="H14" s="106">
        <f>-ASSUMPTIONS!H43</f>
        <v>-44285000</v>
      </c>
      <c r="I14" s="106">
        <f>-ASSUMPTIONS!I43</f>
        <v>-59342749.999999993</v>
      </c>
      <c r="J14" s="106">
        <f>-ASSUMPTIONS!J43</f>
        <v>-85074162.499999985</v>
      </c>
    </row>
    <row r="15" spans="2:10">
      <c r="C15" s="100" t="s">
        <v>45</v>
      </c>
      <c r="E15" s="106"/>
      <c r="F15" s="106">
        <f>-ASSUMPTIONS!F50</f>
        <v>-1565000</v>
      </c>
      <c r="G15" s="106">
        <f>-ASSUMPTIONS!G50</f>
        <v>-4128000</v>
      </c>
      <c r="H15" s="106">
        <f>-ASSUMPTIONS!H50</f>
        <v>-5206200</v>
      </c>
      <c r="I15" s="106">
        <f>-ASSUMPTIONS!I50</f>
        <v>-6905130</v>
      </c>
      <c r="J15" s="106">
        <f>-ASSUMPTIONS!J50</f>
        <v>-9776899.4999999981</v>
      </c>
    </row>
    <row r="16" spans="2:10">
      <c r="C16" s="100" t="s">
        <v>46</v>
      </c>
      <c r="E16" s="111"/>
      <c r="F16" s="111">
        <f>-ASSUMPTIONS!F56</f>
        <v>-600000</v>
      </c>
      <c r="G16" s="111">
        <f>-ASSUMPTIONS!G56</f>
        <v>-618000</v>
      </c>
      <c r="H16" s="111">
        <f>-ASSUMPTIONS!H56</f>
        <v>-636540</v>
      </c>
      <c r="I16" s="111">
        <f>-ASSUMPTIONS!I56</f>
        <v>-655636.20000000007</v>
      </c>
      <c r="J16" s="111">
        <f>-ASSUMPTIONS!J56</f>
        <v>-675305.28600000008</v>
      </c>
    </row>
    <row r="17" spans="2:10">
      <c r="C17" s="100" t="s">
        <v>47</v>
      </c>
      <c r="E17" s="112"/>
      <c r="F17" s="112">
        <f t="shared" ref="F17:J17" si="1">SUM(F14:F16)</f>
        <v>-30640000</v>
      </c>
      <c r="G17" s="112">
        <f t="shared" si="1"/>
        <v>-39596000</v>
      </c>
      <c r="H17" s="112">
        <f t="shared" si="1"/>
        <v>-50127740</v>
      </c>
      <c r="I17" s="112">
        <f t="shared" si="1"/>
        <v>-66903516.199999996</v>
      </c>
      <c r="J17" s="112">
        <f t="shared" si="1"/>
        <v>-95526367.285999984</v>
      </c>
    </row>
    <row r="18" spans="2:10" s="93" customFormat="1" ht="20.5">
      <c r="B18" s="93" t="s">
        <v>48</v>
      </c>
      <c r="E18" s="110"/>
      <c r="F18" s="113">
        <f>F12+F17</f>
        <v>25860000</v>
      </c>
      <c r="G18" s="113">
        <f t="shared" ref="G18:J18" si="2">G12+G17</f>
        <v>29204000</v>
      </c>
      <c r="H18" s="113">
        <f t="shared" si="2"/>
        <v>36642260</v>
      </c>
      <c r="I18" s="113">
        <f t="shared" si="2"/>
        <v>48181983.79999999</v>
      </c>
      <c r="J18" s="113">
        <f t="shared" si="2"/>
        <v>67421957.713999987</v>
      </c>
    </row>
    <row r="19" spans="2:10" s="93" customFormat="1" ht="20.5">
      <c r="B19" s="93" t="s">
        <v>49</v>
      </c>
      <c r="E19" s="114">
        <f>-ASSUMPTIONS!E12</f>
        <v>-2500000</v>
      </c>
      <c r="F19" s="114">
        <f>-ASSUMPTIONS!F12</f>
        <v>0</v>
      </c>
      <c r="G19" s="114">
        <f>-ASSUMPTIONS!G12</f>
        <v>0</v>
      </c>
      <c r="H19" s="114">
        <f>-ASSUMPTIONS!H12</f>
        <v>0</v>
      </c>
      <c r="I19" s="114">
        <f>-ASSUMPTIONS!I12</f>
        <v>0</v>
      </c>
      <c r="J19" s="114">
        <f>-ASSUMPTIONS!J12</f>
        <v>0</v>
      </c>
    </row>
    <row r="20" spans="2:10" s="93" customFormat="1" ht="21" thickBot="1">
      <c r="B20" s="93" t="s">
        <v>50</v>
      </c>
      <c r="E20" s="115">
        <f>E18+E19</f>
        <v>-2500000</v>
      </c>
      <c r="F20" s="115">
        <f t="shared" ref="F20:J20" si="3">F18+F19</f>
        <v>25860000</v>
      </c>
      <c r="G20" s="115">
        <f t="shared" si="3"/>
        <v>29204000</v>
      </c>
      <c r="H20" s="115">
        <f t="shared" si="3"/>
        <v>36642260</v>
      </c>
      <c r="I20" s="115">
        <f t="shared" si="3"/>
        <v>48181983.79999999</v>
      </c>
      <c r="J20" s="115">
        <f t="shared" si="3"/>
        <v>67421957.713999987</v>
      </c>
    </row>
    <row r="21" spans="2:10" ht="22" thickTop="1">
      <c r="E21" s="106"/>
      <c r="F21" s="106"/>
      <c r="G21" s="106"/>
      <c r="H21" s="106"/>
      <c r="I21" s="106"/>
      <c r="J21" s="106"/>
    </row>
  </sheetData>
  <sheetProtection algorithmName="SHA-512" hashValue="B2tByuliXwwLSGogjQCVFlBhe/xngEPrSuzNwFoCHyd4s38gr7W/pbWLFhG+D34+QgK9uNe9BRGGnaQAYNNhcg==" saltValue="d0YaTJha9voDYCvCyFswHA==" spinCount="100000" sheet="1" objects="1" scenarios="1"/>
  <mergeCells count="1">
    <mergeCell ref="B2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0359E-E744-4236-979E-43F1DA591A78}">
  <dimension ref="B1:J20"/>
  <sheetViews>
    <sheetView showGridLines="0" tabSelected="1" topLeftCell="A5" zoomScale="80" zoomScaleNormal="80" workbookViewId="0">
      <selection activeCell="J9" sqref="J9"/>
    </sheetView>
  </sheetViews>
  <sheetFormatPr defaultColWidth="8.90625" defaultRowHeight="24.5" outlineLevelRow="1"/>
  <cols>
    <col min="1" max="2" width="4" style="63" customWidth="1"/>
    <col min="3" max="3" width="36.6328125" style="63" customWidth="1"/>
    <col min="4" max="9" width="16.36328125" style="63" customWidth="1"/>
    <col min="10" max="10" width="9.36328125" style="63" bestFit="1" customWidth="1"/>
    <col min="11" max="16384" width="8.90625" style="63"/>
  </cols>
  <sheetData>
    <row r="1" spans="2:10" hidden="1">
      <c r="E1" s="63">
        <v>1</v>
      </c>
      <c r="F1" s="63">
        <f>E1+1</f>
        <v>2</v>
      </c>
      <c r="G1" s="63">
        <f>F1+1</f>
        <v>3</v>
      </c>
      <c r="H1" s="63">
        <f>G1+1</f>
        <v>4</v>
      </c>
      <c r="I1" s="63">
        <f>H1+1</f>
        <v>5</v>
      </c>
    </row>
    <row r="2" spans="2:10" s="89" customFormat="1">
      <c r="B2" s="89" t="s">
        <v>51</v>
      </c>
      <c r="D2" s="90"/>
      <c r="E2" s="90"/>
      <c r="F2" s="90"/>
      <c r="G2" s="90"/>
      <c r="H2" s="90"/>
      <c r="I2" s="90"/>
    </row>
    <row r="3" spans="2:10" s="91" customFormat="1">
      <c r="B3" s="54"/>
      <c r="C3" s="78"/>
      <c r="D3" s="80" t="s">
        <v>1</v>
      </c>
      <c r="E3" s="55" t="s">
        <v>2</v>
      </c>
      <c r="F3" s="81" t="s">
        <v>3</v>
      </c>
      <c r="G3" s="55" t="s">
        <v>4</v>
      </c>
      <c r="H3" s="81" t="s">
        <v>5</v>
      </c>
      <c r="I3" s="55" t="s">
        <v>6</v>
      </c>
    </row>
    <row r="4" spans="2:10" s="91" customFormat="1">
      <c r="B4" s="56"/>
      <c r="C4" s="79"/>
      <c r="D4" s="82">
        <v>2024</v>
      </c>
      <c r="E4" s="57">
        <f>D4+1</f>
        <v>2025</v>
      </c>
      <c r="F4" s="83">
        <f t="shared" ref="F4:I4" si="0">E4+1</f>
        <v>2026</v>
      </c>
      <c r="G4" s="57">
        <f t="shared" si="0"/>
        <v>2027</v>
      </c>
      <c r="H4" s="83">
        <f t="shared" si="0"/>
        <v>2028</v>
      </c>
      <c r="I4" s="57">
        <f t="shared" si="0"/>
        <v>2029</v>
      </c>
    </row>
    <row r="5" spans="2:10">
      <c r="B5" s="63">
        <v>1</v>
      </c>
      <c r="C5" s="63" t="s">
        <v>52</v>
      </c>
      <c r="D5" s="64">
        <f>'CASH FLOW'!E12</f>
        <v>0</v>
      </c>
      <c r="E5" s="64">
        <f>'CASH FLOW'!F12</f>
        <v>56500000</v>
      </c>
      <c r="F5" s="64">
        <f>'CASH FLOW'!G12</f>
        <v>68800000</v>
      </c>
      <c r="G5" s="64">
        <f>'CASH FLOW'!H12</f>
        <v>86770000</v>
      </c>
      <c r="H5" s="64">
        <f>'CASH FLOW'!I12</f>
        <v>115085499.99999999</v>
      </c>
      <c r="I5" s="64">
        <f>'CASH FLOW'!J12</f>
        <v>162948324.99999997</v>
      </c>
    </row>
    <row r="6" spans="2:10">
      <c r="B6" s="63">
        <v>2</v>
      </c>
      <c r="C6" s="63" t="s">
        <v>53</v>
      </c>
      <c r="D6" s="58">
        <f>'CASH FLOW'!E17</f>
        <v>0</v>
      </c>
      <c r="E6" s="58">
        <f>'CASH FLOW'!F17</f>
        <v>-30640000</v>
      </c>
      <c r="F6" s="58">
        <f>'CASH FLOW'!G17</f>
        <v>-39596000</v>
      </c>
      <c r="G6" s="58">
        <f>'CASH FLOW'!H17</f>
        <v>-50127740</v>
      </c>
      <c r="H6" s="58">
        <f>'CASH FLOW'!I17</f>
        <v>-66903516.199999996</v>
      </c>
      <c r="I6" s="58">
        <f>'CASH FLOW'!J17</f>
        <v>-95526367.285999984</v>
      </c>
    </row>
    <row r="7" spans="2:10">
      <c r="C7" s="63" t="s">
        <v>54</v>
      </c>
      <c r="D7" s="64">
        <f>SUM(D5:D6)</f>
        <v>0</v>
      </c>
      <c r="E7" s="64">
        <f t="shared" ref="E7:I7" si="1">SUM(E5:E6)</f>
        <v>25860000</v>
      </c>
      <c r="F7" s="64">
        <f t="shared" si="1"/>
        <v>29204000</v>
      </c>
      <c r="G7" s="64">
        <f t="shared" si="1"/>
        <v>36642260</v>
      </c>
      <c r="H7" s="64">
        <f t="shared" si="1"/>
        <v>48181983.79999999</v>
      </c>
      <c r="I7" s="64">
        <f t="shared" si="1"/>
        <v>67421957.713999987</v>
      </c>
    </row>
    <row r="8" spans="2:10">
      <c r="B8" s="63">
        <v>3</v>
      </c>
      <c r="C8" s="63" t="s">
        <v>49</v>
      </c>
      <c r="D8" s="58">
        <f>'CASH FLOW'!E19</f>
        <v>-2500000</v>
      </c>
      <c r="E8" s="58">
        <f>'CASH FLOW'!F19</f>
        <v>0</v>
      </c>
      <c r="F8" s="58">
        <f>'CASH FLOW'!G19</f>
        <v>0</v>
      </c>
      <c r="G8" s="58">
        <f>'CASH FLOW'!H19</f>
        <v>0</v>
      </c>
      <c r="H8" s="58">
        <f>'CASH FLOW'!I19</f>
        <v>0</v>
      </c>
      <c r="I8" s="58">
        <f>'CASH FLOW'!J19</f>
        <v>0</v>
      </c>
    </row>
    <row r="9" spans="2:10" s="65" customFormat="1" ht="23">
      <c r="B9" s="65">
        <v>3</v>
      </c>
      <c r="C9" s="65" t="s">
        <v>55</v>
      </c>
      <c r="D9" s="66">
        <f>SUM(D7:D8)</f>
        <v>-2500000</v>
      </c>
      <c r="E9" s="66">
        <f t="shared" ref="E9:I9" si="2">SUM(E7:E8)</f>
        <v>25860000</v>
      </c>
      <c r="F9" s="66">
        <f t="shared" si="2"/>
        <v>29204000</v>
      </c>
      <c r="G9" s="66">
        <f t="shared" si="2"/>
        <v>36642260</v>
      </c>
      <c r="H9" s="66">
        <f t="shared" si="2"/>
        <v>48181983.79999999</v>
      </c>
      <c r="I9" s="66">
        <f t="shared" si="2"/>
        <v>67421957.713999987</v>
      </c>
    </row>
    <row r="10" spans="2:10">
      <c r="C10" s="63" t="s">
        <v>56</v>
      </c>
      <c r="D10" s="64">
        <f>D9</f>
        <v>-2500000</v>
      </c>
      <c r="E10" s="64">
        <f>D9+E9</f>
        <v>23360000</v>
      </c>
      <c r="F10" s="64">
        <f>E10+F9</f>
        <v>52564000</v>
      </c>
      <c r="G10" s="64">
        <f>F10+G9</f>
        <v>89206260</v>
      </c>
      <c r="H10" s="64">
        <f>G10+H9</f>
        <v>137388243.79999998</v>
      </c>
      <c r="I10" s="64">
        <f>H10+I9</f>
        <v>204810201.51399997</v>
      </c>
    </row>
    <row r="11" spans="2:10" s="65" customFormat="1" hidden="1" outlineLevel="1">
      <c r="B11" s="63"/>
      <c r="D11" s="63"/>
      <c r="E11" s="64">
        <f>IF(E10&lt;=0,1,0)</f>
        <v>0</v>
      </c>
      <c r="F11" s="64">
        <f t="shared" ref="F11:I11" si="3">IF(F10&lt;=0,1,0)</f>
        <v>0</v>
      </c>
      <c r="G11" s="64">
        <f t="shared" si="3"/>
        <v>0</v>
      </c>
      <c r="H11" s="64">
        <f t="shared" si="3"/>
        <v>0</v>
      </c>
      <c r="I11" s="64">
        <f t="shared" si="3"/>
        <v>0</v>
      </c>
    </row>
    <row r="12" spans="2:10" s="65" customFormat="1" hidden="1" outlineLevel="1">
      <c r="B12" s="63"/>
      <c r="D12" s="63"/>
      <c r="E12" s="59">
        <f>_xlfn.SINGLE(ROUND(IF(E11&lt;D11,12*(-D10/(-D10+E10)),0),0))</f>
        <v>0</v>
      </c>
      <c r="F12" s="59">
        <f t="shared" ref="F12:I12" si="4">_xlfn.SINGLE(ROUND(IF(F11&lt;E11,12*(-E10/(-E10+F10)),0),0))</f>
        <v>0</v>
      </c>
      <c r="G12" s="59">
        <f t="shared" si="4"/>
        <v>0</v>
      </c>
      <c r="H12" s="59">
        <f t="shared" si="4"/>
        <v>0</v>
      </c>
      <c r="I12" s="59">
        <f t="shared" si="4"/>
        <v>0</v>
      </c>
    </row>
    <row r="13" spans="2:10" s="65" customFormat="1" collapsed="1">
      <c r="B13" s="67">
        <v>1</v>
      </c>
      <c r="C13" s="68" t="s">
        <v>57</v>
      </c>
      <c r="D13" s="69">
        <f>IF(I10&lt;0,"มากกว่า 5 ปี",SUM(E11:I11))</f>
        <v>0</v>
      </c>
      <c r="E13" s="70">
        <f>SUM(E12:I12)</f>
        <v>0</v>
      </c>
      <c r="F13" s="68"/>
      <c r="G13" s="67"/>
      <c r="H13" s="67"/>
      <c r="I13" s="67"/>
      <c r="J13" s="65" t="s">
        <v>93</v>
      </c>
    </row>
    <row r="14" spans="2:10" s="65" customFormat="1">
      <c r="B14" s="68">
        <v>2</v>
      </c>
      <c r="C14" s="68" t="s">
        <v>58</v>
      </c>
      <c r="D14" s="77">
        <f>SUM(E9:I9)/-MIN(D9,E9,F9,G9,H9)</f>
        <v>82.924080605599983</v>
      </c>
      <c r="E14" s="76"/>
      <c r="F14" s="68"/>
      <c r="G14" s="67"/>
      <c r="H14" s="67"/>
      <c r="I14" s="67"/>
    </row>
    <row r="15" spans="2:10">
      <c r="B15" s="67"/>
      <c r="C15" s="67" t="s">
        <v>59</v>
      </c>
      <c r="D15" s="92">
        <v>0.2</v>
      </c>
      <c r="E15" s="71"/>
      <c r="F15" s="71"/>
      <c r="G15" s="71"/>
      <c r="H15" s="71"/>
      <c r="I15" s="71"/>
    </row>
    <row r="16" spans="2:10" s="65" customFormat="1" ht="23">
      <c r="B16" s="68">
        <v>3</v>
      </c>
      <c r="C16" s="68" t="s">
        <v>60</v>
      </c>
      <c r="D16" s="72">
        <f>D17/D18</f>
        <v>1.7424447136365819</v>
      </c>
      <c r="E16" s="73"/>
      <c r="F16" s="73"/>
      <c r="G16" s="73"/>
      <c r="H16" s="73"/>
      <c r="I16" s="74"/>
      <c r="J16" s="65" t="s">
        <v>94</v>
      </c>
    </row>
    <row r="17" spans="2:9" hidden="1" outlineLevel="1">
      <c r="B17" s="67"/>
      <c r="C17" s="67" t="s">
        <v>61</v>
      </c>
      <c r="D17" s="71">
        <f>NPV(D15,E5:I5)</f>
        <v>266060846.27379116</v>
      </c>
      <c r="E17" s="71"/>
      <c r="F17" s="71"/>
      <c r="G17" s="71"/>
      <c r="H17" s="71"/>
      <c r="I17" s="71"/>
    </row>
    <row r="18" spans="2:9" hidden="1" outlineLevel="1">
      <c r="B18" s="67"/>
      <c r="C18" s="67" t="s">
        <v>62</v>
      </c>
      <c r="D18" s="71">
        <f>-NPV(D15,E6:I6)-D6</f>
        <v>152693996.0800862</v>
      </c>
      <c r="E18" s="71"/>
      <c r="F18" s="71"/>
      <c r="G18" s="71"/>
      <c r="H18" s="71"/>
      <c r="I18" s="71"/>
    </row>
    <row r="19" spans="2:9" s="65" customFormat="1" collapsed="1">
      <c r="B19" s="68">
        <v>4</v>
      </c>
      <c r="C19" s="68" t="s">
        <v>63</v>
      </c>
      <c r="D19" s="73">
        <f>D9+NPV(D15,E9:I9)</f>
        <v>110866850.19370499</v>
      </c>
      <c r="E19" s="68"/>
      <c r="F19" s="68"/>
      <c r="G19" s="67"/>
      <c r="H19" s="67"/>
      <c r="I19" s="67"/>
    </row>
    <row r="20" spans="2:9" s="65" customFormat="1">
      <c r="B20" s="68">
        <v>5</v>
      </c>
      <c r="C20" s="68" t="s">
        <v>64</v>
      </c>
      <c r="D20" s="75">
        <f>IRR(D9:I9,0.11)</f>
        <v>10.4863553515919</v>
      </c>
      <c r="E20" s="76"/>
      <c r="F20" s="68"/>
      <c r="G20" s="67"/>
      <c r="H20" s="67"/>
      <c r="I20" s="67"/>
    </row>
  </sheetData>
  <pageMargins left="0.7" right="0.7" top="0.75" bottom="0.75" header="0.3" footer="0.3"/>
  <pageSetup orientation="portrait" r:id="rId1"/>
  <ignoredErrors>
    <ignoredError sqref="D8:I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E8AAB-EFEF-4DEB-A30F-8BDF5BBA6CC9}">
  <dimension ref="A1:N31"/>
  <sheetViews>
    <sheetView showGridLines="0" zoomScale="59" workbookViewId="0">
      <selection activeCell="E23" sqref="E23"/>
    </sheetView>
  </sheetViews>
  <sheetFormatPr defaultRowHeight="14.5"/>
  <cols>
    <col min="1" max="1" width="2.7265625" customWidth="1"/>
    <col min="2" max="2" width="31.90625" customWidth="1"/>
    <col min="3" max="3" width="5.90625" customWidth="1"/>
    <col min="4" max="13" width="16.08984375" customWidth="1"/>
    <col min="14" max="14" width="14.08984375" customWidth="1"/>
  </cols>
  <sheetData>
    <row r="1" spans="1:14">
      <c r="B1" t="s">
        <v>65</v>
      </c>
    </row>
    <row r="2" spans="1:14" s="4" customFormat="1" ht="15">
      <c r="A2" s="129" t="s">
        <v>0</v>
      </c>
      <c r="B2" s="129"/>
      <c r="C2" s="129"/>
      <c r="D2" s="1">
        <f t="shared" ref="D2:F2" si="0">E2-1</f>
        <v>2019</v>
      </c>
      <c r="E2" s="1">
        <f t="shared" si="0"/>
        <v>2020</v>
      </c>
      <c r="F2" s="1">
        <f t="shared" si="0"/>
        <v>2021</v>
      </c>
      <c r="G2" s="1">
        <v>2022</v>
      </c>
      <c r="H2" s="2">
        <v>2023</v>
      </c>
      <c r="I2" s="3">
        <f>H2+1</f>
        <v>2024</v>
      </c>
      <c r="J2" s="3">
        <f t="shared" ref="J2:M2" si="1">I2+1</f>
        <v>2025</v>
      </c>
      <c r="K2" s="3">
        <f t="shared" si="1"/>
        <v>2026</v>
      </c>
      <c r="L2" s="3">
        <f t="shared" si="1"/>
        <v>2027</v>
      </c>
      <c r="M2" s="3">
        <f t="shared" si="1"/>
        <v>2028</v>
      </c>
    </row>
    <row r="3" spans="1:14" s="4" customFormat="1" ht="15">
      <c r="A3" s="129"/>
      <c r="B3" s="129"/>
      <c r="C3" s="129"/>
      <c r="D3" s="5" t="s">
        <v>66</v>
      </c>
      <c r="E3" s="5" t="s">
        <v>66</v>
      </c>
      <c r="F3" s="5" t="s">
        <v>66</v>
      </c>
      <c r="G3" s="6" t="s">
        <v>66</v>
      </c>
      <c r="H3" s="7" t="s">
        <v>67</v>
      </c>
      <c r="I3" s="8" t="s">
        <v>68</v>
      </c>
      <c r="J3" s="8" t="s">
        <v>68</v>
      </c>
      <c r="K3" s="8" t="s">
        <v>68</v>
      </c>
      <c r="L3" s="8" t="s">
        <v>68</v>
      </c>
      <c r="M3" s="8" t="s">
        <v>68</v>
      </c>
    </row>
    <row r="4" spans="1:14" s="4" customFormat="1" ht="15">
      <c r="B4" s="4" t="s">
        <v>69</v>
      </c>
      <c r="C4" s="9"/>
      <c r="D4" s="10" t="e">
        <f>#REF!</f>
        <v>#REF!</v>
      </c>
      <c r="E4" s="10" t="e">
        <f>#REF!</f>
        <v>#REF!</v>
      </c>
      <c r="F4" s="10" t="e">
        <f>#REF!</f>
        <v>#REF!</v>
      </c>
      <c r="G4" s="10" t="e">
        <f>#REF!</f>
        <v>#REF!</v>
      </c>
      <c r="H4" s="11" t="e">
        <f>G4*(1+H5)</f>
        <v>#REF!</v>
      </c>
      <c r="I4" s="11" t="e">
        <f>H4*(1+I5)</f>
        <v>#REF!</v>
      </c>
      <c r="J4" s="11" t="e">
        <f t="shared" ref="J4:M4" si="2">I4*(1+J5)</f>
        <v>#REF!</v>
      </c>
      <c r="K4" s="11" t="e">
        <f t="shared" si="2"/>
        <v>#REF!</v>
      </c>
      <c r="L4" s="11" t="e">
        <f t="shared" si="2"/>
        <v>#REF!</v>
      </c>
      <c r="M4" s="11" t="e">
        <f t="shared" si="2"/>
        <v>#REF!</v>
      </c>
    </row>
    <row r="5" spans="1:14" s="4" customFormat="1" ht="15">
      <c r="B5" s="4" t="s">
        <v>70</v>
      </c>
      <c r="C5" s="9"/>
      <c r="D5" s="12"/>
      <c r="E5" s="12" t="e">
        <f>(E4-D4)/D4</f>
        <v>#REF!</v>
      </c>
      <c r="F5" s="12" t="e">
        <f t="shared" ref="F5:G5" si="3">(F4-E4)/E4</f>
        <v>#REF!</v>
      </c>
      <c r="G5" s="12" t="e">
        <f t="shared" si="3"/>
        <v>#REF!</v>
      </c>
      <c r="H5" s="13">
        <v>1</v>
      </c>
      <c r="I5" s="13">
        <v>0.5</v>
      </c>
      <c r="J5" s="13">
        <v>0.2</v>
      </c>
      <c r="K5" s="13">
        <v>0.2</v>
      </c>
      <c r="L5" s="13">
        <v>0.1</v>
      </c>
      <c r="M5" s="13">
        <v>0.1</v>
      </c>
    </row>
    <row r="6" spans="1:14" s="4" customFormat="1" ht="15">
      <c r="B6" s="4" t="s">
        <v>71</v>
      </c>
      <c r="C6" s="9"/>
      <c r="D6" s="14"/>
      <c r="E6" s="14"/>
      <c r="F6" s="14"/>
      <c r="G6" s="14"/>
      <c r="H6" s="15">
        <v>0</v>
      </c>
      <c r="I6" s="15">
        <v>50000000</v>
      </c>
      <c r="J6" s="16">
        <f t="shared" ref="J6:M6" si="4">I6*(1+J7)</f>
        <v>200000000</v>
      </c>
      <c r="K6" s="16">
        <f t="shared" si="4"/>
        <v>400000000</v>
      </c>
      <c r="L6" s="16">
        <f t="shared" si="4"/>
        <v>600000000</v>
      </c>
      <c r="M6" s="16">
        <f t="shared" si="4"/>
        <v>900000000</v>
      </c>
    </row>
    <row r="7" spans="1:14" s="4" customFormat="1" ht="15.5" thickBot="1">
      <c r="B7" s="4" t="s">
        <v>72</v>
      </c>
      <c r="C7" s="9"/>
      <c r="D7" s="14"/>
      <c r="E7" s="14"/>
      <c r="F7" s="14"/>
      <c r="G7" s="14"/>
      <c r="H7" s="14"/>
      <c r="I7" s="13"/>
      <c r="J7" s="13">
        <v>3</v>
      </c>
      <c r="K7" s="13">
        <v>1</v>
      </c>
      <c r="L7" s="13">
        <v>0.5</v>
      </c>
      <c r="M7" s="13">
        <v>0.5</v>
      </c>
    </row>
    <row r="8" spans="1:14" s="4" customFormat="1" ht="15">
      <c r="B8" s="17" t="s">
        <v>73</v>
      </c>
      <c r="C8" s="18"/>
      <c r="D8" s="19"/>
      <c r="E8" s="19"/>
      <c r="F8" s="19"/>
      <c r="G8" s="19"/>
      <c r="H8" s="20" t="e">
        <f>H4</f>
        <v>#REF!</v>
      </c>
      <c r="I8" s="20" t="e">
        <f t="shared" ref="I8:K8" si="5">I4</f>
        <v>#REF!</v>
      </c>
      <c r="J8" s="20" t="e">
        <f t="shared" si="5"/>
        <v>#REF!</v>
      </c>
      <c r="K8" s="20" t="e">
        <f t="shared" si="5"/>
        <v>#REF!</v>
      </c>
      <c r="L8" s="20" t="e">
        <f>L4</f>
        <v>#REF!</v>
      </c>
      <c r="M8" s="21" t="e">
        <f>L8</f>
        <v>#REF!</v>
      </c>
    </row>
    <row r="9" spans="1:14" s="4" customFormat="1" ht="15">
      <c r="B9" s="22" t="s">
        <v>74</v>
      </c>
      <c r="C9" s="9"/>
      <c r="D9" s="14"/>
      <c r="E9" s="14"/>
      <c r="F9" s="14"/>
      <c r="G9" s="14"/>
      <c r="H9" s="16">
        <f>H6</f>
        <v>0</v>
      </c>
      <c r="I9" s="16" t="e">
        <f t="shared" ref="I9:M9" si="6">SUM(I28:I29)</f>
        <v>#REF!</v>
      </c>
      <c r="J9" s="16" t="e">
        <f t="shared" si="6"/>
        <v>#REF!</v>
      </c>
      <c r="K9" s="16" t="e">
        <f t="shared" si="6"/>
        <v>#REF!</v>
      </c>
      <c r="L9" s="16" t="e">
        <f t="shared" si="6"/>
        <v>#REF!</v>
      </c>
      <c r="M9" s="23" t="e">
        <f t="shared" si="6"/>
        <v>#REF!</v>
      </c>
    </row>
    <row r="10" spans="1:14" s="4" customFormat="1" ht="15.5" thickBot="1">
      <c r="B10" s="24" t="s">
        <v>75</v>
      </c>
      <c r="C10" s="25"/>
      <c r="D10" s="26"/>
      <c r="E10" s="26"/>
      <c r="F10" s="26"/>
      <c r="G10" s="26"/>
      <c r="H10" s="26" t="e">
        <f>H9/H8</f>
        <v>#REF!</v>
      </c>
      <c r="I10" s="26" t="e">
        <f t="shared" ref="I10:M10" si="7">I9/I8</f>
        <v>#REF!</v>
      </c>
      <c r="J10" s="27" t="e">
        <f t="shared" si="7"/>
        <v>#REF!</v>
      </c>
      <c r="K10" s="26" t="e">
        <f t="shared" si="7"/>
        <v>#REF!</v>
      </c>
      <c r="L10" s="26" t="e">
        <f t="shared" si="7"/>
        <v>#REF!</v>
      </c>
      <c r="M10" s="28" t="e">
        <f t="shared" si="7"/>
        <v>#REF!</v>
      </c>
    </row>
    <row r="11" spans="1:14" s="4" customFormat="1" ht="15">
      <c r="C11" s="9"/>
      <c r="D11" s="14"/>
      <c r="E11" s="14"/>
      <c r="F11" s="14"/>
      <c r="G11" s="14"/>
      <c r="H11" s="14"/>
      <c r="I11" s="16"/>
      <c r="J11" s="16"/>
      <c r="K11" s="16"/>
      <c r="L11" s="16"/>
      <c r="M11" s="16"/>
    </row>
    <row r="12" spans="1:14" s="4" customFormat="1" ht="15">
      <c r="B12" s="4" t="s">
        <v>76</v>
      </c>
      <c r="C12" s="9"/>
      <c r="D12" s="14"/>
      <c r="E12" s="14"/>
      <c r="F12" s="14"/>
      <c r="G12" s="14"/>
      <c r="H12" s="13">
        <v>0.35</v>
      </c>
      <c r="I12" s="13">
        <f>H12</f>
        <v>0.35</v>
      </c>
      <c r="J12" s="13">
        <f t="shared" ref="J12:M13" si="8">I12</f>
        <v>0.35</v>
      </c>
      <c r="K12" s="13">
        <f t="shared" si="8"/>
        <v>0.35</v>
      </c>
      <c r="L12" s="13">
        <f t="shared" si="8"/>
        <v>0.35</v>
      </c>
      <c r="M12" s="13">
        <f t="shared" si="8"/>
        <v>0.35</v>
      </c>
    </row>
    <row r="13" spans="1:14" s="4" customFormat="1" ht="15">
      <c r="B13" s="4" t="s">
        <v>77</v>
      </c>
      <c r="C13" s="9"/>
      <c r="D13" s="14"/>
      <c r="E13" s="14"/>
      <c r="F13" s="14"/>
      <c r="G13" s="14"/>
      <c r="H13" s="13">
        <v>0.35</v>
      </c>
      <c r="I13" s="13">
        <f>H13</f>
        <v>0.35</v>
      </c>
      <c r="J13" s="13">
        <f t="shared" si="8"/>
        <v>0.35</v>
      </c>
      <c r="K13" s="13">
        <f t="shared" si="8"/>
        <v>0.35</v>
      </c>
      <c r="L13" s="13">
        <f t="shared" si="8"/>
        <v>0.35</v>
      </c>
      <c r="M13" s="13">
        <f t="shared" si="8"/>
        <v>0.35</v>
      </c>
    </row>
    <row r="14" spans="1:14" s="4" customFormat="1" ht="15">
      <c r="B14" s="4" t="s">
        <v>78</v>
      </c>
      <c r="C14" s="9"/>
      <c r="D14" s="9"/>
      <c r="E14" s="9"/>
      <c r="F14" s="9"/>
      <c r="G14" s="9"/>
      <c r="H14" s="29" t="e">
        <f t="shared" ref="H14:L14" si="9">H4*H12</f>
        <v>#REF!</v>
      </c>
      <c r="I14" s="29" t="e">
        <f t="shared" si="9"/>
        <v>#REF!</v>
      </c>
      <c r="J14" s="29" t="e">
        <f t="shared" si="9"/>
        <v>#REF!</v>
      </c>
      <c r="K14" s="29" t="e">
        <f t="shared" si="9"/>
        <v>#REF!</v>
      </c>
      <c r="L14" s="29" t="e">
        <f t="shared" si="9"/>
        <v>#REF!</v>
      </c>
      <c r="M14" s="29" t="e">
        <f>M4*M12</f>
        <v>#REF!</v>
      </c>
      <c r="N14" s="9"/>
    </row>
    <row r="15" spans="1:14" s="4" customFormat="1" ht="15">
      <c r="B15" s="4" t="s">
        <v>79</v>
      </c>
      <c r="C15" s="9"/>
      <c r="D15" s="9"/>
      <c r="E15" s="9"/>
      <c r="F15" s="9"/>
      <c r="G15" s="9"/>
      <c r="H15" s="29">
        <f t="shared" ref="H15:L15" si="10">H6*H13</f>
        <v>0</v>
      </c>
      <c r="I15" s="29">
        <f t="shared" si="10"/>
        <v>17500000</v>
      </c>
      <c r="J15" s="29">
        <f t="shared" si="10"/>
        <v>70000000</v>
      </c>
      <c r="K15" s="29">
        <f t="shared" si="10"/>
        <v>140000000</v>
      </c>
      <c r="L15" s="29">
        <f t="shared" si="10"/>
        <v>210000000</v>
      </c>
      <c r="M15" s="29">
        <f>M6*M13</f>
        <v>315000000</v>
      </c>
      <c r="N15" s="9"/>
    </row>
    <row r="16" spans="1:14" s="4" customFormat="1" ht="15">
      <c r="B16" s="4" t="s">
        <v>80</v>
      </c>
      <c r="C16" s="9"/>
      <c r="D16" s="9"/>
      <c r="E16" s="9"/>
      <c r="F16" s="9"/>
      <c r="G16" s="9"/>
      <c r="H16" s="29" t="e">
        <f t="shared" ref="H16:M16" si="11">H14+H15</f>
        <v>#REF!</v>
      </c>
      <c r="I16" s="29" t="e">
        <f t="shared" si="11"/>
        <v>#REF!</v>
      </c>
      <c r="J16" s="29" t="e">
        <f t="shared" si="11"/>
        <v>#REF!</v>
      </c>
      <c r="K16" s="29" t="e">
        <f t="shared" si="11"/>
        <v>#REF!</v>
      </c>
      <c r="L16" s="29" t="e">
        <f t="shared" si="11"/>
        <v>#REF!</v>
      </c>
      <c r="M16" s="29" t="e">
        <f t="shared" si="11"/>
        <v>#REF!</v>
      </c>
      <c r="N16" s="9"/>
    </row>
    <row r="17" spans="2:13" s="4" customFormat="1" ht="15">
      <c r="B17" s="4" t="s">
        <v>81</v>
      </c>
      <c r="C17" s="9"/>
      <c r="D17" s="14"/>
      <c r="E17" s="14" t="e">
        <f>#REF!</f>
        <v>#REF!</v>
      </c>
      <c r="F17" s="14" t="e">
        <f>#REF!</f>
        <v>#REF!</v>
      </c>
      <c r="G17" s="14" t="e">
        <f>#REF!</f>
        <v>#REF!</v>
      </c>
      <c r="H17" s="13">
        <v>7.0000000000000007E-2</v>
      </c>
      <c r="I17" s="13">
        <v>7.0000000000000007E-2</v>
      </c>
      <c r="J17" s="13">
        <v>7.0000000000000007E-2</v>
      </c>
      <c r="K17" s="13">
        <v>7.0000000000000007E-2</v>
      </c>
      <c r="L17" s="13">
        <v>7.0000000000000007E-2</v>
      </c>
      <c r="M17" s="13">
        <v>7.0000000000000007E-2</v>
      </c>
    </row>
    <row r="18" spans="2:13" s="4" customFormat="1" ht="15">
      <c r="B18" s="4" t="s">
        <v>82</v>
      </c>
      <c r="C18" s="9"/>
      <c r="D18" s="14"/>
      <c r="E18" s="14" t="e">
        <f>(#REF!-#REF!)/#REF!</f>
        <v>#REF!</v>
      </c>
      <c r="F18" s="14" t="e">
        <f>(#REF!-#REF!)/#REF!</f>
        <v>#REF!</v>
      </c>
      <c r="G18" s="14" t="e">
        <f>(#REF!-#REF!)/#REF!</f>
        <v>#REF!</v>
      </c>
      <c r="H18" s="13">
        <v>0.4</v>
      </c>
      <c r="I18" s="13">
        <v>0.1</v>
      </c>
      <c r="J18" s="13">
        <v>0.1</v>
      </c>
      <c r="K18" s="13">
        <v>0.05</v>
      </c>
      <c r="L18" s="13">
        <v>0.05</v>
      </c>
      <c r="M18" s="13">
        <v>0.05</v>
      </c>
    </row>
    <row r="19" spans="2:13" s="4" customFormat="1" ht="15">
      <c r="B19" s="4" t="s">
        <v>83</v>
      </c>
      <c r="C19" s="9"/>
      <c r="D19" s="16" t="e">
        <f>#REF!</f>
        <v>#REF!</v>
      </c>
      <c r="E19" s="16" t="e">
        <f>#REF!</f>
        <v>#REF!</v>
      </c>
      <c r="F19" s="16" t="e">
        <f>#REF!</f>
        <v>#REF!</v>
      </c>
      <c r="G19" s="16" t="e">
        <f>#REF!</f>
        <v>#REF!</v>
      </c>
      <c r="H19" s="15" t="e">
        <f>G19</f>
        <v>#REF!</v>
      </c>
      <c r="I19" s="15" t="e">
        <f t="shared" ref="I19:M19" si="12">H19</f>
        <v>#REF!</v>
      </c>
      <c r="J19" s="15" t="e">
        <f t="shared" si="12"/>
        <v>#REF!</v>
      </c>
      <c r="K19" s="15" t="e">
        <f t="shared" si="12"/>
        <v>#REF!</v>
      </c>
      <c r="L19" s="15" t="e">
        <f t="shared" si="12"/>
        <v>#REF!</v>
      </c>
      <c r="M19" s="15" t="e">
        <f t="shared" si="12"/>
        <v>#REF!</v>
      </c>
    </row>
    <row r="20" spans="2:13" s="4" customFormat="1" ht="15">
      <c r="B20" s="4" t="s">
        <v>84</v>
      </c>
      <c r="C20" s="9"/>
      <c r="D20" s="14"/>
      <c r="E20" s="16"/>
      <c r="F20" s="16"/>
      <c r="G20" s="16"/>
      <c r="H20" s="15">
        <v>20</v>
      </c>
      <c r="I20" s="15">
        <v>20</v>
      </c>
      <c r="J20" s="15">
        <v>20</v>
      </c>
      <c r="K20" s="15">
        <v>20</v>
      </c>
      <c r="L20" s="15">
        <v>20</v>
      </c>
      <c r="M20" s="15">
        <v>20</v>
      </c>
    </row>
    <row r="21" spans="2:13" s="4" customFormat="1" ht="15">
      <c r="B21" s="4" t="s">
        <v>85</v>
      </c>
      <c r="C21" s="9"/>
      <c r="D21" s="14"/>
      <c r="E21" s="16"/>
      <c r="F21" s="16"/>
      <c r="G21" s="16"/>
      <c r="H21" s="16">
        <f t="shared" ref="H21:M21" si="13">H44*H20</f>
        <v>0</v>
      </c>
      <c r="I21" s="16">
        <f t="shared" si="13"/>
        <v>0</v>
      </c>
      <c r="J21" s="16">
        <f t="shared" si="13"/>
        <v>0</v>
      </c>
      <c r="K21" s="16">
        <f t="shared" si="13"/>
        <v>0</v>
      </c>
      <c r="L21" s="16">
        <f t="shared" si="13"/>
        <v>0</v>
      </c>
      <c r="M21" s="16">
        <f t="shared" si="13"/>
        <v>0</v>
      </c>
    </row>
    <row r="23" spans="2:13" ht="15.5">
      <c r="B23" s="4" t="s">
        <v>73</v>
      </c>
      <c r="C23" s="9"/>
      <c r="D23" s="30" t="e">
        <f t="shared" ref="D23:F23" si="14">D4</f>
        <v>#REF!</v>
      </c>
      <c r="E23" s="30" t="e">
        <f t="shared" si="14"/>
        <v>#REF!</v>
      </c>
      <c r="F23" s="30" t="e">
        <f t="shared" si="14"/>
        <v>#REF!</v>
      </c>
      <c r="G23" s="30" t="e">
        <f>G4</f>
        <v>#REF!</v>
      </c>
      <c r="H23" s="16" t="e">
        <f>H8</f>
        <v>#REF!</v>
      </c>
      <c r="I23" s="16" t="e">
        <f t="shared" ref="I23:L23" si="15">I8</f>
        <v>#REF!</v>
      </c>
      <c r="J23" s="16" t="e">
        <f t="shared" si="15"/>
        <v>#REF!</v>
      </c>
      <c r="K23" s="16" t="e">
        <f t="shared" si="15"/>
        <v>#REF!</v>
      </c>
      <c r="L23" s="16" t="e">
        <f t="shared" si="15"/>
        <v>#REF!</v>
      </c>
      <c r="M23" s="16" t="e">
        <f>M8</f>
        <v>#REF!</v>
      </c>
    </row>
    <row r="24" spans="2:13">
      <c r="B24" t="s">
        <v>27</v>
      </c>
      <c r="H24" s="31" t="e">
        <f>H16</f>
        <v>#REF!</v>
      </c>
      <c r="I24" s="31" t="e">
        <f t="shared" ref="I24:M24" si="16">I16</f>
        <v>#REF!</v>
      </c>
      <c r="J24" s="31" t="e">
        <f t="shared" si="16"/>
        <v>#REF!</v>
      </c>
      <c r="K24" s="31" t="e">
        <f t="shared" si="16"/>
        <v>#REF!</v>
      </c>
      <c r="L24" s="31" t="e">
        <f t="shared" si="16"/>
        <v>#REF!</v>
      </c>
      <c r="M24" s="31" t="e">
        <f t="shared" si="16"/>
        <v>#REF!</v>
      </c>
    </row>
    <row r="25" spans="2:13">
      <c r="B25" t="s">
        <v>86</v>
      </c>
      <c r="H25" s="31" t="e">
        <f>H4*H17</f>
        <v>#REF!</v>
      </c>
      <c r="I25" s="31" t="e">
        <f t="shared" ref="I25:M25" si="17">I4*I17</f>
        <v>#REF!</v>
      </c>
      <c r="J25" s="31" t="e">
        <f t="shared" si="17"/>
        <v>#REF!</v>
      </c>
      <c r="K25" s="31" t="e">
        <f t="shared" si="17"/>
        <v>#REF!</v>
      </c>
      <c r="L25" s="31" t="e">
        <f t="shared" si="17"/>
        <v>#REF!</v>
      </c>
      <c r="M25" s="31" t="e">
        <f t="shared" si="17"/>
        <v>#REF!</v>
      </c>
    </row>
    <row r="26" spans="2:13">
      <c r="B26" t="s">
        <v>87</v>
      </c>
      <c r="H26" s="32">
        <v>41992232.337999992</v>
      </c>
      <c r="I26" s="32">
        <f>H26*(1+I18)</f>
        <v>46191455.571799994</v>
      </c>
      <c r="J26" s="32">
        <f t="shared" ref="J26:M26" si="18">I26*(1+J18)</f>
        <v>50810601.128979996</v>
      </c>
      <c r="K26" s="32">
        <f t="shared" si="18"/>
        <v>53351131.185428999</v>
      </c>
      <c r="L26" s="32">
        <f t="shared" si="18"/>
        <v>56018687.744700454</v>
      </c>
      <c r="M26" s="32">
        <f t="shared" si="18"/>
        <v>58819622.131935477</v>
      </c>
    </row>
    <row r="27" spans="2:13">
      <c r="B27" t="s">
        <v>88</v>
      </c>
      <c r="H27" s="33" t="e">
        <f>H24-H25-H26</f>
        <v>#REF!</v>
      </c>
      <c r="I27" s="33" t="e">
        <f t="shared" ref="I27:M27" si="19">I24-I25-I26</f>
        <v>#REF!</v>
      </c>
      <c r="J27" s="33" t="e">
        <f t="shared" si="19"/>
        <v>#REF!</v>
      </c>
      <c r="K27" s="33" t="e">
        <f t="shared" si="19"/>
        <v>#REF!</v>
      </c>
      <c r="L27" s="33" t="e">
        <f t="shared" si="19"/>
        <v>#REF!</v>
      </c>
      <c r="M27" s="33" t="e">
        <f t="shared" si="19"/>
        <v>#REF!</v>
      </c>
    </row>
    <row r="28" spans="2:13">
      <c r="B28" t="s">
        <v>89</v>
      </c>
      <c r="H28" s="32">
        <v>6361572.9000000004</v>
      </c>
      <c r="I28" s="34">
        <f>H28</f>
        <v>6361572.9000000004</v>
      </c>
      <c r="J28" s="34">
        <f t="shared" ref="J28:M28" si="20">I28</f>
        <v>6361572.9000000004</v>
      </c>
      <c r="K28" s="34">
        <f t="shared" si="20"/>
        <v>6361572.9000000004</v>
      </c>
      <c r="L28" s="34">
        <f t="shared" si="20"/>
        <v>6361572.9000000004</v>
      </c>
      <c r="M28" s="34">
        <f t="shared" si="20"/>
        <v>6361572.9000000004</v>
      </c>
    </row>
    <row r="29" spans="2:13">
      <c r="B29" t="s">
        <v>90</v>
      </c>
      <c r="H29" s="33" t="e">
        <f>H27-H28</f>
        <v>#REF!</v>
      </c>
      <c r="I29" s="33" t="e">
        <f t="shared" ref="I29:M29" si="21">I27-I28</f>
        <v>#REF!</v>
      </c>
      <c r="J29" s="33" t="e">
        <f t="shared" si="21"/>
        <v>#REF!</v>
      </c>
      <c r="K29" s="33" t="e">
        <f t="shared" si="21"/>
        <v>#REF!</v>
      </c>
      <c r="L29" s="33" t="e">
        <f t="shared" si="21"/>
        <v>#REF!</v>
      </c>
      <c r="M29" s="33" t="e">
        <f t="shared" si="21"/>
        <v>#REF!</v>
      </c>
    </row>
    <row r="30" spans="2:13">
      <c r="B30" t="s">
        <v>91</v>
      </c>
      <c r="H30" s="35" t="e">
        <f>H29*0.2</f>
        <v>#REF!</v>
      </c>
      <c r="I30" s="35" t="e">
        <f t="shared" ref="I30:L30" si="22">I29*0.2</f>
        <v>#REF!</v>
      </c>
      <c r="J30" s="35" t="e">
        <f t="shared" si="22"/>
        <v>#REF!</v>
      </c>
      <c r="K30" s="35" t="e">
        <f t="shared" si="22"/>
        <v>#REF!</v>
      </c>
      <c r="L30" s="35" t="e">
        <f t="shared" si="22"/>
        <v>#REF!</v>
      </c>
      <c r="M30" s="35" t="e">
        <f>M29*0.2</f>
        <v>#REF!</v>
      </c>
    </row>
    <row r="31" spans="2:13">
      <c r="B31" t="s">
        <v>92</v>
      </c>
      <c r="D31" s="31">
        <v>482115.42000000307</v>
      </c>
      <c r="E31" s="31">
        <v>-2904959.2199999997</v>
      </c>
      <c r="F31" s="31">
        <v>4420999.2500000028</v>
      </c>
      <c r="G31" s="31">
        <v>4984946.55</v>
      </c>
      <c r="H31" s="36" t="e">
        <f>H29-H30</f>
        <v>#REF!</v>
      </c>
      <c r="I31" s="36" t="e">
        <f t="shared" ref="I31:L31" si="23">I29-I30</f>
        <v>#REF!</v>
      </c>
      <c r="J31" s="36" t="e">
        <f t="shared" si="23"/>
        <v>#REF!</v>
      </c>
      <c r="K31" s="36" t="e">
        <f t="shared" si="23"/>
        <v>#REF!</v>
      </c>
      <c r="L31" s="36" t="e">
        <f t="shared" si="23"/>
        <v>#REF!</v>
      </c>
      <c r="M31" s="36" t="e">
        <f>M29-M30</f>
        <v>#REF!</v>
      </c>
    </row>
  </sheetData>
  <mergeCells count="1">
    <mergeCell ref="A2:C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4861D52C78BA408B421A59C85FBE0B" ma:contentTypeVersion="18" ma:contentTypeDescription="Create a new document." ma:contentTypeScope="" ma:versionID="4f4155952e63240ed10c3b2c6499b6af">
  <xsd:schema xmlns:xsd="http://www.w3.org/2001/XMLSchema" xmlns:xs="http://www.w3.org/2001/XMLSchema" xmlns:p="http://schemas.microsoft.com/office/2006/metadata/properties" xmlns:ns2="abcb3ba4-ebf5-44f9-b059-6e113c93a9ae" xmlns:ns3="2e23d928-011f-4edd-8073-14a50f154886" targetNamespace="http://schemas.microsoft.com/office/2006/metadata/properties" ma:root="true" ma:fieldsID="89cbb7652a19fff7c8a65e15079dbb64" ns2:_="" ns3:_="">
    <xsd:import namespace="abcb3ba4-ebf5-44f9-b059-6e113c93a9ae"/>
    <xsd:import namespace="2e23d928-011f-4edd-8073-14a50f1548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cb3ba4-ebf5-44f9-b059-6e113c93a9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760033a-948c-49fe-8d86-0a057f7ec9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23d928-011f-4edd-8073-14a50f15488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ef9c253-c3d1-4479-b6e5-70114d0ff2dc}" ma:internalName="TaxCatchAll" ma:showField="CatchAllData" ma:web="2e23d928-011f-4edd-8073-14a50f15488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E343C3-6775-4974-A981-CE6370F2AC54}"/>
</file>

<file path=customXml/itemProps2.xml><?xml version="1.0" encoding="utf-8"?>
<ds:datastoreItem xmlns:ds="http://schemas.openxmlformats.org/officeDocument/2006/customXml" ds:itemID="{4A1EA435-DA36-4D1D-885B-DA2B77BD12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ASSUMPTIONS</vt:lpstr>
      <vt:lpstr>CASH FLOW</vt:lpstr>
      <vt:lpstr>RETURN</vt:lpstr>
      <vt:lpstr>IDE Growth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Backster Business</dc:creator>
  <cp:keywords/>
  <dc:description/>
  <cp:lastModifiedBy>Musika Thanat</cp:lastModifiedBy>
  <cp:revision/>
  <dcterms:created xsi:type="dcterms:W3CDTF">2023-09-12T02:43:05Z</dcterms:created>
  <dcterms:modified xsi:type="dcterms:W3CDTF">2024-05-17T09:15:10Z</dcterms:modified>
  <cp:category/>
  <cp:contentStatus/>
</cp:coreProperties>
</file>